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5480" windowHeight="903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мероприятий'!$A$1:$K$424</definedName>
  </definedNames>
  <calcPr fullCalcOnLoad="1"/>
</workbook>
</file>

<file path=xl/sharedStrings.xml><?xml version="1.0" encoding="utf-8"?>
<sst xmlns="http://schemas.openxmlformats.org/spreadsheetml/2006/main" count="563" uniqueCount="344">
  <si>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</si>
  <si>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</si>
  <si>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</si>
  <si>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</si>
  <si>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</si>
  <si>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</si>
  <si>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</si>
  <si>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</si>
  <si>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</si>
  <si>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</si>
  <si>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</si>
  <si>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</si>
  <si>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</si>
  <si>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</si>
  <si>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</si>
  <si>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</si>
  <si>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</si>
  <si>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</si>
  <si>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</si>
  <si>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</si>
  <si>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</si>
  <si>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</si>
  <si>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</si>
  <si>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</si>
  <si>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</si>
  <si>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</si>
  <si>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</si>
  <si>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</si>
  <si>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</si>
  <si>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</si>
  <si>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</si>
  <si>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</si>
  <si>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</si>
  <si>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</si>
  <si>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</si>
  <si>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</si>
  <si>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</si>
  <si>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</si>
  <si>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</si>
  <si>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</si>
  <si>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</si>
  <si>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</si>
  <si>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</si>
  <si>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</si>
  <si>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</si>
  <si>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</si>
  <si>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</si>
  <si>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</si>
  <si>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</si>
  <si>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</si>
  <si>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</si>
  <si>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</si>
  <si>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</si>
  <si>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</si>
  <si>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</si>
  <si>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</si>
  <si>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</si>
  <si>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</si>
  <si>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</si>
  <si>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</si>
  <si>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</si>
  <si>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</si>
  <si>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</si>
  <si>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</si>
  <si>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</si>
  <si>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</si>
  <si>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</si>
  <si>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</si>
  <si>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</si>
  <si>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</si>
  <si>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</si>
  <si>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</si>
  <si>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</si>
  <si>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</si>
  <si>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</si>
  <si>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</si>
  <si>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</si>
  <si>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</si>
  <si>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</si>
  <si>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</si>
  <si>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</si>
  <si>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</si>
  <si>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</si>
  <si>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</si>
  <si>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</si>
  <si>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</si>
  <si>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</si>
  <si>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</si>
  <si>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</si>
  <si>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</si>
  <si>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</si>
  <si>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</si>
  <si>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</si>
  <si>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</si>
  <si>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</si>
  <si>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</si>
  <si>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</si>
  <si>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</si>
  <si>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</si>
  <si>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</si>
  <si>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</si>
  <si>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</si>
  <si>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</si>
  <si>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</si>
  <si>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</si>
  <si>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</si>
  <si>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</si>
  <si>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</si>
  <si>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</si>
  <si>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</si>
  <si>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</si>
  <si>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</si>
  <si>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</si>
  <si>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</si>
  <si>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</si>
  <si>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</si>
  <si>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</si>
  <si>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</si>
  <si>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</si>
  <si>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</si>
  <si>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</si>
  <si>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</si>
  <si>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</si>
  <si>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</si>
  <si>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</si>
  <si>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</si>
  <si>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</si>
  <si>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</si>
  <si>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</si>
  <si>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</si>
  <si>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</si>
  <si>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</si>
  <si>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</si>
  <si>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</si>
  <si>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</si>
  <si>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</si>
  <si>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</si>
  <si>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</si>
  <si>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</si>
  <si>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</si>
  <si>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</si>
  <si>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>288</t>
  </si>
  <si>
    <t>289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</si>
  <si>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</si>
  <si>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</si>
  <si>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</si>
  <si>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</si>
  <si>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</si>
  <si>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</si>
  <si>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</si>
  <si>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</si>
  <si>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</si>
  <si>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</si>
  <si>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</si>
  <si>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</si>
  <si>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</si>
  <si>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</si>
  <si>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</si>
  <si>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</si>
  <si>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</si>
  <si>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</si>
  <si>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</si>
  <si>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</si>
  <si>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</si>
  <si>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</si>
  <si>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</si>
  <si>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</si>
  <si>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</si>
  <si>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</si>
  <si>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</si>
  <si>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</si>
  <si>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</si>
  <si>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</si>
  <si>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</si>
  <si>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</si>
  <si>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</si>
  <si>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</si>
  <si>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</si>
  <si>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</si>
  <si>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</si>
  <si>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</si>
  <si>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</si>
  <si>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</si>
  <si>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</si>
  <si>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</si>
  <si>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</si>
  <si>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</si>
  <si>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</si>
  <si>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</si>
  <si>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>было</t>
  </si>
  <si>
    <t xml:space="preserve">четвертый                              год </t>
  </si>
  <si>
    <t>36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</si>
  <si>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</si>
  <si>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37</t>
  </si>
  <si>
    <t>38</t>
  </si>
  <si>
    <t>Реконструкция кровли МАДОУ № 5</t>
  </si>
  <si>
    <t>Кровли МАДОУ № 3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</si>
  <si>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</si>
  <si>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</si>
  <si>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</si>
  <si>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</si>
  <si>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</si>
  <si>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</si>
  <si>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</si>
  <si>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</si>
  <si>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</si>
  <si>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</si>
  <si>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</si>
  <si>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</si>
  <si>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</si>
  <si>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</si>
  <si>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</si>
  <si>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</si>
  <si>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</si>
  <si>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</si>
  <si>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</si>
  <si>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</si>
  <si>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</si>
  <si>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</si>
  <si>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</si>
  <si>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</si>
  <si>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</si>
  <si>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</si>
  <si>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</si>
  <si>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</si>
  <si>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</si>
  <si>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</si>
  <si>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</si>
  <si>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</si>
  <si>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</si>
  <si>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</si>
  <si>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</si>
  <si>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</si>
  <si>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</si>
  <si>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</si>
  <si>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</si>
  <si>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</si>
  <si>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</si>
  <si>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</si>
  <si>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</si>
  <si>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</si>
  <si>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</si>
  <si>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</si>
  <si>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</si>
  <si>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</si>
  <si>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</si>
  <si>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</si>
  <si>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</si>
  <si>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</si>
  <si>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</si>
  <si>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</si>
  <si>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</si>
  <si>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</si>
  <si>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</si>
  <si>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</si>
  <si>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</si>
  <si>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</si>
  <si>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</si>
  <si>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</si>
  <si>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</si>
  <si>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</si>
  <si>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</si>
  <si>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</si>
  <si>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</si>
  <si>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</si>
  <si>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</si>
  <si>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</si>
  <si>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</si>
  <si>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</si>
  <si>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</si>
  <si>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</si>
  <si>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</si>
  <si>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</si>
  <si>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</si>
  <si>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</si>
  <si>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</si>
  <si>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</si>
  <si>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</si>
  <si>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</si>
  <si>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</si>
  <si>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</si>
  <si>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</si>
  <si>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</si>
  <si>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</si>
  <si>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</si>
  <si>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</si>
  <si>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</si>
  <si>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</si>
  <si>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</si>
  <si>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</si>
  <si>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</si>
  <si>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</si>
  <si>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</si>
  <si>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</si>
  <si>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</si>
  <si>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</si>
  <si>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</si>
  <si>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</si>
  <si>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</si>
  <si>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</si>
  <si>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</si>
  <si>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</si>
  <si>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</si>
  <si>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</si>
  <si>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</si>
  <si>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</si>
  <si>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</si>
  <si>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</si>
  <si>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</si>
  <si>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</si>
  <si>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</si>
  <si>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</si>
  <si>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</si>
  <si>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</si>
  <si>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</si>
  <si>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</si>
  <si>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</si>
  <si>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</si>
  <si>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</si>
  <si>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</si>
  <si>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</si>
  <si>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</si>
  <si>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</si>
  <si>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</si>
  <si>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задача 1.3, целевой показатель 4 (строка 9)</t>
  </si>
  <si>
    <t>293</t>
  </si>
  <si>
    <t>Окон, бассейна МАОУ СОШ № 11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</si>
  <si>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</si>
  <si>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</si>
  <si>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</si>
  <si>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МБОУ СОШ № 4</t>
  </si>
  <si>
    <t>откл.</t>
  </si>
  <si>
    <t>294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</si>
  <si>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</si>
  <si>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</si>
  <si>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295</t>
  </si>
  <si>
    <t>296</t>
  </si>
  <si>
    <t>297</t>
  </si>
  <si>
    <t>Окон, мастерских, туалетов МАОУ СОШ № 9</t>
  </si>
  <si>
    <t>Кровли МАДОУ № 5</t>
  </si>
  <si>
    <t>Окон, системы отопления, санузлов, помещений  МБОУ СОШ № 2</t>
  </si>
  <si>
    <t>К постановлению Администрации Североуральского городского округа</t>
  </si>
  <si>
    <t>от 22.12.2017 № 1401</t>
  </si>
  <si>
    <t>Всего по направлению "Иные капитальные вложения",                                                                              всего, в том числе: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</si>
</sst>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69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i/>
      <sz val="11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Arial Cyr"/>
      <family val="0"/>
    </font>
    <font>
      <b/>
      <sz val="11"/>
      <color rgb="FF0000FF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77" fontId="2" fillId="0" borderId="10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177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177" fontId="15" fillId="0" borderId="10" xfId="0" applyNumberFormat="1" applyFont="1" applyBorder="1" applyAlignment="1">
      <alignment horizontal="right" vertical="center" wrapText="1"/>
    </xf>
    <xf numFmtId="177" fontId="15" fillId="3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/>
    </xf>
    <xf numFmtId="177" fontId="16" fillId="0" borderId="10" xfId="0" applyNumberFormat="1" applyFont="1" applyBorder="1" applyAlignment="1">
      <alignment horizontal="right" vertical="center" wrapText="1"/>
    </xf>
    <xf numFmtId="177" fontId="16" fillId="33" borderId="10" xfId="0" applyNumberFormat="1" applyFont="1" applyFill="1" applyBorder="1" applyAlignment="1">
      <alignment horizontal="right" vertical="center" wrapText="1"/>
    </xf>
    <xf numFmtId="177" fontId="1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77" fontId="10" fillId="33" borderId="1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18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7" fontId="15" fillId="0" borderId="10" xfId="0" applyNumberFormat="1" applyFont="1" applyFill="1" applyBorder="1" applyAlignment="1">
      <alignment horizontal="right" vertical="center" wrapText="1"/>
    </xf>
    <xf numFmtId="182" fontId="11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82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wrapText="1"/>
    </xf>
    <xf numFmtId="4" fontId="12" fillId="0" borderId="0" xfId="0" applyNumberFormat="1" applyFont="1" applyAlignment="1">
      <alignment wrapText="1"/>
    </xf>
    <xf numFmtId="182" fontId="1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82" fontId="0" fillId="0" borderId="0" xfId="0" applyNumberFormat="1" applyFont="1" applyAlignment="1">
      <alignment horizontal="right"/>
    </xf>
    <xf numFmtId="182" fontId="67" fillId="0" borderId="0" xfId="0" applyNumberFormat="1" applyFont="1" applyAlignment="1">
      <alignment wrapText="1"/>
    </xf>
    <xf numFmtId="182" fontId="68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9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17" fillId="34" borderId="1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7" fillId="34" borderId="0" xfId="0" applyFont="1" applyFill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1" fillId="34" borderId="12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top" wrapText="1"/>
    </xf>
    <xf numFmtId="0" fontId="17" fillId="34" borderId="0" xfId="0" applyFont="1" applyFill="1" applyAlignment="1">
      <alignment horizontal="center"/>
    </xf>
    <xf numFmtId="49" fontId="40" fillId="34" borderId="0" xfId="0" applyNumberFormat="1" applyFont="1" applyFill="1" applyAlignment="1">
      <alignment/>
    </xf>
    <xf numFmtId="0" fontId="17" fillId="34" borderId="0" xfId="0" applyFont="1" applyFill="1" applyAlignment="1">
      <alignment horizontal="left"/>
    </xf>
    <xf numFmtId="178" fontId="40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178" fontId="41" fillId="34" borderId="0" xfId="0" applyNumberFormat="1" applyFont="1" applyFill="1" applyAlignment="1">
      <alignment/>
    </xf>
    <xf numFmtId="178" fontId="42" fillId="34" borderId="0" xfId="0" applyNumberFormat="1" applyFont="1" applyFill="1" applyAlignment="1">
      <alignment horizontal="left"/>
    </xf>
    <xf numFmtId="49" fontId="40" fillId="34" borderId="12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49" fontId="40" fillId="34" borderId="16" xfId="0" applyNumberFormat="1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49" fontId="40" fillId="34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182" fontId="42" fillId="34" borderId="10" xfId="0" applyNumberFormat="1" applyFont="1" applyFill="1" applyBorder="1" applyAlignment="1">
      <alignment horizontal="right" vertical="center" wrapText="1"/>
    </xf>
    <xf numFmtId="178" fontId="40" fillId="34" borderId="10" xfId="0" applyNumberFormat="1" applyFont="1" applyFill="1" applyBorder="1" applyAlignment="1">
      <alignment horizontal="right" vertical="center" wrapText="1"/>
    </xf>
    <xf numFmtId="182" fontId="40" fillId="34" borderId="10" xfId="0" applyNumberFormat="1" applyFont="1" applyFill="1" applyBorder="1" applyAlignment="1">
      <alignment horizontal="right" vertical="center" wrapText="1"/>
    </xf>
    <xf numFmtId="177" fontId="43" fillId="34" borderId="10" xfId="0" applyNumberFormat="1" applyFont="1" applyFill="1" applyBorder="1" applyAlignment="1">
      <alignment horizontal="left" vertical="center" wrapText="1"/>
    </xf>
    <xf numFmtId="178" fontId="43" fillId="34" borderId="10" xfId="0" applyNumberFormat="1" applyFont="1" applyFill="1" applyBorder="1" applyAlignment="1">
      <alignment horizontal="left" vertical="center" wrapText="1"/>
    </xf>
    <xf numFmtId="182" fontId="42" fillId="34" borderId="10" xfId="0" applyNumberFormat="1" applyFont="1" applyFill="1" applyBorder="1" applyAlignment="1">
      <alignment horizontal="center" vertical="center" wrapText="1"/>
    </xf>
    <xf numFmtId="178" fontId="40" fillId="34" borderId="10" xfId="0" applyNumberFormat="1" applyFont="1" applyFill="1" applyBorder="1" applyAlignment="1">
      <alignment horizontal="center" vertical="center" wrapText="1"/>
    </xf>
    <xf numFmtId="182" fontId="40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left" vertical="center" wrapText="1"/>
    </xf>
    <xf numFmtId="0" fontId="44" fillId="34" borderId="10" xfId="0" applyNumberFormat="1" applyFont="1" applyFill="1" applyBorder="1" applyAlignment="1">
      <alignment horizontal="left" vertical="center" wrapText="1"/>
    </xf>
    <xf numFmtId="182" fontId="45" fillId="34" borderId="10" xfId="0" applyNumberFormat="1" applyFont="1" applyFill="1" applyBorder="1" applyAlignment="1">
      <alignment horizontal="center" vertical="center" wrapText="1"/>
    </xf>
    <xf numFmtId="178" fontId="45" fillId="34" borderId="10" xfId="0" applyNumberFormat="1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49" fontId="40" fillId="34" borderId="14" xfId="0" applyNumberFormat="1" applyFont="1" applyFill="1" applyBorder="1" applyAlignment="1">
      <alignment horizontal="center" vertical="center" wrapText="1"/>
    </xf>
    <xf numFmtId="182" fontId="40" fillId="34" borderId="15" xfId="0" applyNumberFormat="1" applyFont="1" applyFill="1" applyBorder="1" applyAlignment="1">
      <alignment horizontal="right" vertical="center" wrapText="1"/>
    </xf>
    <xf numFmtId="177" fontId="46" fillId="34" borderId="10" xfId="0" applyNumberFormat="1" applyFont="1" applyFill="1" applyBorder="1" applyAlignment="1">
      <alignment horizontal="left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0" fontId="46" fillId="34" borderId="10" xfId="0" applyNumberFormat="1" applyFont="1" applyFill="1" applyBorder="1" applyAlignment="1">
      <alignment horizontal="left" vertical="center" wrapText="1"/>
    </xf>
    <xf numFmtId="178" fontId="40" fillId="34" borderId="15" xfId="0" applyNumberFormat="1" applyFont="1" applyFill="1" applyBorder="1" applyAlignment="1">
      <alignment horizontal="right" vertical="center" wrapText="1"/>
    </xf>
    <xf numFmtId="178" fontId="47" fillId="34" borderId="10" xfId="0" applyNumberFormat="1" applyFont="1" applyFill="1" applyBorder="1" applyAlignment="1">
      <alignment horizontal="right" vertical="center" wrapText="1"/>
    </xf>
    <xf numFmtId="182" fontId="47" fillId="34" borderId="10" xfId="0" applyNumberFormat="1" applyFont="1" applyFill="1" applyBorder="1" applyAlignment="1">
      <alignment horizontal="right" vertical="center" wrapText="1"/>
    </xf>
    <xf numFmtId="177" fontId="42" fillId="34" borderId="10" xfId="0" applyNumberFormat="1" applyFont="1" applyFill="1" applyBorder="1" applyAlignment="1">
      <alignment horizontal="left" vertical="center" wrapText="1"/>
    </xf>
    <xf numFmtId="182" fontId="47" fillId="34" borderId="15" xfId="0" applyNumberFormat="1" applyFont="1" applyFill="1" applyBorder="1" applyAlignment="1">
      <alignment horizontal="right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182" fontId="40" fillId="34" borderId="13" xfId="0" applyNumberFormat="1" applyFont="1" applyFill="1" applyBorder="1" applyAlignment="1">
      <alignment horizontal="right" vertical="center" wrapText="1"/>
    </xf>
    <xf numFmtId="178" fontId="40" fillId="34" borderId="13" xfId="0" applyNumberFormat="1" applyFont="1" applyFill="1" applyBorder="1" applyAlignment="1">
      <alignment horizontal="right" vertical="center" wrapText="1"/>
    </xf>
    <xf numFmtId="0" fontId="42" fillId="34" borderId="15" xfId="0" applyNumberFormat="1" applyFont="1" applyFill="1" applyBorder="1" applyAlignment="1">
      <alignment horizontal="left" vertical="center" wrapText="1"/>
    </xf>
    <xf numFmtId="182" fontId="41" fillId="34" borderId="10" xfId="0" applyNumberFormat="1" applyFont="1" applyFill="1" applyBorder="1" applyAlignment="1">
      <alignment horizontal="center" vertical="center" wrapText="1"/>
    </xf>
    <xf numFmtId="178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left" vertical="center" wrapText="1"/>
    </xf>
    <xf numFmtId="182" fontId="41" fillId="34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7"/>
  <sheetViews>
    <sheetView tabSelected="1" view="pageLayout" zoomScaleSheetLayoutView="100" workbookViewId="0" topLeftCell="A403">
      <selection activeCell="B1" sqref="A1:K424"/>
    </sheetView>
  </sheetViews>
  <sheetFormatPr defaultColWidth="9.00390625" defaultRowHeight="12.75"/>
  <cols>
    <col min="1" max="1" width="7.00390625" style="48" customWidth="1"/>
    <col min="2" max="2" width="66.75390625" style="41" customWidth="1"/>
    <col min="3" max="3" width="15.375" style="3" customWidth="1"/>
    <col min="4" max="4" width="13.125" style="0" customWidth="1"/>
    <col min="5" max="5" width="13.625" style="0" customWidth="1"/>
    <col min="6" max="6" width="13.75390625" style="50" customWidth="1"/>
    <col min="7" max="7" width="14.125" style="0" customWidth="1"/>
    <col min="8" max="10" width="14.25390625" style="0" customWidth="1"/>
    <col min="11" max="11" width="30.375" style="33" customWidth="1"/>
    <col min="12" max="12" width="17.125" style="0" customWidth="1"/>
    <col min="13" max="13" width="17.75390625" style="0" customWidth="1"/>
  </cols>
  <sheetData>
    <row r="1" spans="1:11" s="1" customFormat="1" ht="15.75">
      <c r="A1" s="48"/>
      <c r="B1" s="2"/>
      <c r="C1" s="43"/>
      <c r="F1" s="49"/>
      <c r="G1" s="38"/>
      <c r="H1" s="62" t="s">
        <v>341</v>
      </c>
      <c r="I1" s="62"/>
      <c r="J1" s="62"/>
      <c r="K1" s="62"/>
    </row>
    <row r="2" spans="1:11" s="1" customFormat="1" ht="15.75">
      <c r="A2" s="48"/>
      <c r="B2" s="37"/>
      <c r="C2" s="44"/>
      <c r="E2" s="32"/>
      <c r="F2" s="46"/>
      <c r="G2" s="32"/>
      <c r="H2" s="62" t="s">
        <v>342</v>
      </c>
      <c r="I2" s="62"/>
      <c r="J2" s="62"/>
      <c r="K2" s="62"/>
    </row>
    <row r="3" spans="1:11" s="1" customFormat="1" ht="15.75">
      <c r="A3" s="48"/>
      <c r="B3" s="37"/>
      <c r="C3" s="44"/>
      <c r="D3" s="47"/>
      <c r="E3" s="32"/>
      <c r="F3" s="46"/>
      <c r="G3" s="32"/>
      <c r="H3" s="62" t="s">
        <v>327</v>
      </c>
      <c r="I3" s="62"/>
      <c r="J3" s="62"/>
      <c r="K3" s="62"/>
    </row>
    <row r="4" spans="1:11" s="1" customFormat="1" ht="15.75">
      <c r="A4" s="48"/>
      <c r="B4" s="37"/>
      <c r="C4" s="44"/>
      <c r="E4" s="32"/>
      <c r="F4" s="46"/>
      <c r="G4" s="32"/>
      <c r="H4" s="62" t="s">
        <v>143</v>
      </c>
      <c r="I4" s="62"/>
      <c r="J4" s="62"/>
      <c r="K4" s="62"/>
    </row>
    <row r="5" spans="1:11" s="1" customFormat="1" ht="15.75">
      <c r="A5" s="48"/>
      <c r="B5" s="37"/>
      <c r="C5" s="44"/>
      <c r="D5" s="47"/>
      <c r="E5" s="32"/>
      <c r="F5" s="46"/>
      <c r="G5" s="32"/>
      <c r="H5" s="62" t="s">
        <v>144</v>
      </c>
      <c r="I5" s="62"/>
      <c r="J5" s="62"/>
      <c r="K5" s="62"/>
    </row>
    <row r="6" spans="1:11" s="1" customFormat="1" ht="15.75">
      <c r="A6" s="48"/>
      <c r="B6" s="37"/>
      <c r="C6" s="44"/>
      <c r="E6" s="32"/>
      <c r="F6" s="46"/>
      <c r="G6" s="32"/>
      <c r="H6" s="63"/>
      <c r="I6" s="63"/>
      <c r="J6" s="63"/>
      <c r="K6" s="63"/>
    </row>
    <row r="7" spans="1:11" s="1" customFormat="1" ht="15">
      <c r="A7" s="48"/>
      <c r="B7" s="37"/>
      <c r="C7" s="54"/>
      <c r="E7" s="32"/>
      <c r="F7" s="46"/>
      <c r="G7" s="59"/>
      <c r="H7" s="63"/>
      <c r="I7" s="63"/>
      <c r="J7" s="63"/>
      <c r="K7" s="63"/>
    </row>
    <row r="8" spans="1:11" s="1" customFormat="1" ht="15.75">
      <c r="A8" s="77" t="s">
        <v>140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s="1" customFormat="1" ht="15.75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s="1" customFormat="1" ht="15.75">
      <c r="A10" s="77" t="s">
        <v>71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s="1" customFormat="1" ht="15.75">
      <c r="A11" s="78"/>
      <c r="B11" s="79"/>
      <c r="C11" s="80"/>
      <c r="D11" s="81"/>
      <c r="E11" s="81"/>
      <c r="F11" s="81"/>
      <c r="G11" s="81"/>
      <c r="H11" s="81"/>
      <c r="I11" s="82"/>
      <c r="J11" s="82"/>
      <c r="K11" s="83"/>
    </row>
    <row r="12" spans="1:11" s="3" customFormat="1" ht="26.25" customHeight="1">
      <c r="A12" s="84" t="s">
        <v>3</v>
      </c>
      <c r="B12" s="85" t="s">
        <v>90</v>
      </c>
      <c r="C12" s="86" t="s">
        <v>89</v>
      </c>
      <c r="D12" s="87"/>
      <c r="E12" s="87"/>
      <c r="F12" s="87"/>
      <c r="G12" s="87"/>
      <c r="H12" s="87"/>
      <c r="I12" s="87"/>
      <c r="J12" s="88"/>
      <c r="K12" s="85" t="s">
        <v>6</v>
      </c>
    </row>
    <row r="13" spans="1:11" s="3" customFormat="1" ht="30.75" customHeight="1">
      <c r="A13" s="89"/>
      <c r="B13" s="90"/>
      <c r="C13" s="85" t="s">
        <v>5</v>
      </c>
      <c r="D13" s="64" t="s">
        <v>92</v>
      </c>
      <c r="E13" s="64" t="s">
        <v>93</v>
      </c>
      <c r="F13" s="64" t="s">
        <v>94</v>
      </c>
      <c r="G13" s="64" t="s">
        <v>190</v>
      </c>
      <c r="H13" s="64" t="s">
        <v>95</v>
      </c>
      <c r="I13" s="64" t="s">
        <v>96</v>
      </c>
      <c r="J13" s="64" t="s">
        <v>97</v>
      </c>
      <c r="K13" s="90"/>
    </row>
    <row r="14" spans="1:13" s="3" customFormat="1" ht="15.75" customHeight="1">
      <c r="A14" s="91"/>
      <c r="B14" s="92"/>
      <c r="C14" s="92"/>
      <c r="D14" s="64">
        <v>2014</v>
      </c>
      <c r="E14" s="64">
        <v>2015</v>
      </c>
      <c r="F14" s="64">
        <v>2016</v>
      </c>
      <c r="G14" s="64">
        <v>2017</v>
      </c>
      <c r="H14" s="64">
        <v>2018</v>
      </c>
      <c r="I14" s="64">
        <v>2019</v>
      </c>
      <c r="J14" s="64">
        <v>2020</v>
      </c>
      <c r="K14" s="92"/>
      <c r="L14" s="58" t="s">
        <v>189</v>
      </c>
      <c r="M14" s="58" t="s">
        <v>331</v>
      </c>
    </row>
    <row r="15" spans="1:13" s="9" customFormat="1" ht="30" customHeight="1">
      <c r="A15" s="93">
        <v>1</v>
      </c>
      <c r="B15" s="94" t="s">
        <v>41</v>
      </c>
      <c r="C15" s="95">
        <f>SUM(D15:J15)</f>
        <v>4935349.675190001</v>
      </c>
      <c r="D15" s="96">
        <f aca="true" t="shared" si="0" ref="D15:J15">SUM(D16:D19)</f>
        <v>707299.138</v>
      </c>
      <c r="E15" s="96">
        <f t="shared" si="0"/>
        <v>713636.937</v>
      </c>
      <c r="F15" s="97">
        <f t="shared" si="0"/>
        <v>704438.8596000001</v>
      </c>
      <c r="G15" s="97">
        <f t="shared" si="0"/>
        <v>725189.24059</v>
      </c>
      <c r="H15" s="97">
        <f t="shared" si="0"/>
        <v>698008.4</v>
      </c>
      <c r="I15" s="97">
        <f t="shared" si="0"/>
        <v>699840.2</v>
      </c>
      <c r="J15" s="97">
        <f t="shared" si="0"/>
        <v>686936.9</v>
      </c>
      <c r="K15" s="98"/>
      <c r="L15" s="55">
        <f>SUM(L16:L19)</f>
        <v>725258.90059</v>
      </c>
      <c r="M15" s="52">
        <f>SUM(M16:M19)</f>
        <v>-69.66000000001168</v>
      </c>
    </row>
    <row r="16" spans="1:13" s="10" customFormat="1" ht="15" customHeight="1">
      <c r="A16" s="93">
        <v>2</v>
      </c>
      <c r="B16" s="94" t="s">
        <v>7</v>
      </c>
      <c r="C16" s="95">
        <f>SUM(C22+C28)</f>
        <v>1889119.1281899998</v>
      </c>
      <c r="D16" s="96">
        <f>SUM(D22+D28)</f>
        <v>315595.163</v>
      </c>
      <c r="E16" s="96">
        <f aca="true" t="shared" si="1" ref="E16:F19">SUM(E22+E28)</f>
        <v>323285.155</v>
      </c>
      <c r="F16" s="97">
        <f t="shared" si="1"/>
        <v>237126.25960000002</v>
      </c>
      <c r="G16" s="97">
        <f aca="true" t="shared" si="2" ref="G16:J19">SUM(G22+G28)</f>
        <v>269760.65059</v>
      </c>
      <c r="H16" s="97">
        <f t="shared" si="2"/>
        <v>248181.20000000004</v>
      </c>
      <c r="I16" s="97">
        <f t="shared" si="2"/>
        <v>250013</v>
      </c>
      <c r="J16" s="97">
        <f t="shared" si="2"/>
        <v>245157.7</v>
      </c>
      <c r="K16" s="99"/>
      <c r="L16" s="56">
        <v>269760.65059</v>
      </c>
      <c r="M16" s="57">
        <f>G16-L16</f>
        <v>0</v>
      </c>
    </row>
    <row r="17" spans="1:13" s="10" customFormat="1" ht="15" customHeight="1">
      <c r="A17" s="93">
        <v>3</v>
      </c>
      <c r="B17" s="94" t="s">
        <v>8</v>
      </c>
      <c r="C17" s="95">
        <f>SUM(C23+C29)</f>
        <v>21566.696</v>
      </c>
      <c r="D17" s="96">
        <f aca="true" t="shared" si="3" ref="C17:D19">SUM(D23+D29)</f>
        <v>13957.775</v>
      </c>
      <c r="E17" s="96">
        <f>SUM(E23+E29)</f>
        <v>2441.431</v>
      </c>
      <c r="F17" s="97">
        <f t="shared" si="1"/>
        <v>3911.7</v>
      </c>
      <c r="G17" s="97">
        <f t="shared" si="2"/>
        <v>1255.79</v>
      </c>
      <c r="H17" s="97">
        <f t="shared" si="2"/>
        <v>0</v>
      </c>
      <c r="I17" s="97">
        <f t="shared" si="2"/>
        <v>0</v>
      </c>
      <c r="J17" s="97">
        <f t="shared" si="2"/>
        <v>0</v>
      </c>
      <c r="K17" s="99"/>
      <c r="L17" s="56"/>
      <c r="M17" s="57">
        <f>G17-L17</f>
        <v>1255.79</v>
      </c>
    </row>
    <row r="18" spans="1:13" s="10" customFormat="1" ht="15" customHeight="1">
      <c r="A18" s="93">
        <v>4</v>
      </c>
      <c r="B18" s="94" t="s">
        <v>9</v>
      </c>
      <c r="C18" s="95">
        <f>SUM(C24+C30)</f>
        <v>2732966.4510000004</v>
      </c>
      <c r="D18" s="96">
        <f>SUM(D24+D30)</f>
        <v>342548.8</v>
      </c>
      <c r="E18" s="96">
        <f>SUM(E24+E30)</f>
        <v>349910.351</v>
      </c>
      <c r="F18" s="97">
        <f>SUM(F24+F30)</f>
        <v>421700.9</v>
      </c>
      <c r="G18" s="97">
        <f t="shared" si="2"/>
        <v>409972.8</v>
      </c>
      <c r="H18" s="97">
        <f t="shared" si="2"/>
        <v>405627.2</v>
      </c>
      <c r="I18" s="97">
        <f t="shared" si="2"/>
        <v>405627.2</v>
      </c>
      <c r="J18" s="97">
        <f t="shared" si="2"/>
        <v>397579.2</v>
      </c>
      <c r="K18" s="99"/>
      <c r="L18" s="56">
        <v>411298.25</v>
      </c>
      <c r="M18" s="57">
        <f>G18-L18</f>
        <v>-1325.4500000000116</v>
      </c>
    </row>
    <row r="19" spans="1:13" s="10" customFormat="1" ht="15" customHeight="1">
      <c r="A19" s="93">
        <v>5</v>
      </c>
      <c r="B19" s="94" t="s">
        <v>10</v>
      </c>
      <c r="C19" s="95">
        <f t="shared" si="3"/>
        <v>291697.4</v>
      </c>
      <c r="D19" s="96">
        <f t="shared" si="3"/>
        <v>35197.4</v>
      </c>
      <c r="E19" s="96">
        <f t="shared" si="1"/>
        <v>38000</v>
      </c>
      <c r="F19" s="97">
        <f t="shared" si="1"/>
        <v>41700</v>
      </c>
      <c r="G19" s="97">
        <f t="shared" si="2"/>
        <v>44200</v>
      </c>
      <c r="H19" s="97">
        <f t="shared" si="2"/>
        <v>44200</v>
      </c>
      <c r="I19" s="97">
        <f t="shared" si="2"/>
        <v>44200</v>
      </c>
      <c r="J19" s="97">
        <f t="shared" si="2"/>
        <v>44200</v>
      </c>
      <c r="K19" s="99"/>
      <c r="L19" s="56">
        <v>44200</v>
      </c>
      <c r="M19" s="57">
        <f>G19-L19</f>
        <v>0</v>
      </c>
    </row>
    <row r="20" spans="1:11" s="10" customFormat="1" ht="15" customHeight="1">
      <c r="A20" s="93"/>
      <c r="B20" s="94"/>
      <c r="C20" s="100"/>
      <c r="D20" s="101"/>
      <c r="E20" s="101"/>
      <c r="F20" s="102"/>
      <c r="G20" s="102"/>
      <c r="H20" s="102"/>
      <c r="I20" s="102"/>
      <c r="J20" s="102"/>
      <c r="K20" s="103"/>
    </row>
    <row r="21" spans="1:11" s="11" customFormat="1" ht="30" customHeight="1">
      <c r="A21" s="93">
        <v>6</v>
      </c>
      <c r="B21" s="94" t="s">
        <v>25</v>
      </c>
      <c r="C21" s="102">
        <f>SUM(C22:C25)</f>
        <v>146805.855</v>
      </c>
      <c r="D21" s="101">
        <f aca="true" t="shared" si="4" ref="D21:J21">SUM(D22:D25)</f>
        <v>54205.854999999996</v>
      </c>
      <c r="E21" s="101">
        <f t="shared" si="4"/>
        <v>7500</v>
      </c>
      <c r="F21" s="102">
        <f t="shared" si="4"/>
        <v>10000</v>
      </c>
      <c r="G21" s="102">
        <f t="shared" si="4"/>
        <v>32000</v>
      </c>
      <c r="H21" s="102">
        <f t="shared" si="4"/>
        <v>15000</v>
      </c>
      <c r="I21" s="102">
        <f t="shared" si="4"/>
        <v>16100</v>
      </c>
      <c r="J21" s="102">
        <f t="shared" si="4"/>
        <v>12000</v>
      </c>
      <c r="K21" s="98"/>
    </row>
    <row r="22" spans="1:11" s="10" customFormat="1" ht="15" customHeight="1">
      <c r="A22" s="93">
        <v>7</v>
      </c>
      <c r="B22" s="94" t="s">
        <v>7</v>
      </c>
      <c r="C22" s="97">
        <f aca="true" t="shared" si="5" ref="C22:J22">SUM(C41+C136+C288+C313+C346+C401)</f>
        <v>98694.55500000001</v>
      </c>
      <c r="D22" s="96">
        <f t="shared" si="5"/>
        <v>6094.555</v>
      </c>
      <c r="E22" s="96">
        <f t="shared" si="5"/>
        <v>7500</v>
      </c>
      <c r="F22" s="97">
        <f t="shared" si="5"/>
        <v>10000</v>
      </c>
      <c r="G22" s="97">
        <f t="shared" si="5"/>
        <v>32000</v>
      </c>
      <c r="H22" s="97">
        <f t="shared" si="5"/>
        <v>15000</v>
      </c>
      <c r="I22" s="97">
        <f t="shared" si="5"/>
        <v>16100</v>
      </c>
      <c r="J22" s="97">
        <f t="shared" si="5"/>
        <v>12000</v>
      </c>
      <c r="K22" s="99"/>
    </row>
    <row r="23" spans="1:11" s="10" customFormat="1" ht="15" customHeight="1">
      <c r="A23" s="93">
        <v>8</v>
      </c>
      <c r="B23" s="94" t="s">
        <v>8</v>
      </c>
      <c r="C23" s="97">
        <f aca="true" t="shared" si="6" ref="C23:J23">SUM(C42+C347)</f>
        <v>12802.1</v>
      </c>
      <c r="D23" s="96">
        <f t="shared" si="6"/>
        <v>12802.1</v>
      </c>
      <c r="E23" s="96">
        <f t="shared" si="6"/>
        <v>0</v>
      </c>
      <c r="F23" s="97">
        <f t="shared" si="6"/>
        <v>0</v>
      </c>
      <c r="G23" s="97">
        <f t="shared" si="6"/>
        <v>0</v>
      </c>
      <c r="H23" s="97">
        <f t="shared" si="6"/>
        <v>0</v>
      </c>
      <c r="I23" s="97">
        <f t="shared" si="6"/>
        <v>0</v>
      </c>
      <c r="J23" s="97">
        <f t="shared" si="6"/>
        <v>0</v>
      </c>
      <c r="K23" s="99"/>
    </row>
    <row r="24" spans="1:11" s="10" customFormat="1" ht="15" customHeight="1">
      <c r="A24" s="93">
        <v>9</v>
      </c>
      <c r="B24" s="94" t="s">
        <v>9</v>
      </c>
      <c r="C24" s="97">
        <f aca="true" t="shared" si="7" ref="C24:J24">SUM(C43+C284+C348)</f>
        <v>35309.2</v>
      </c>
      <c r="D24" s="96">
        <f t="shared" si="7"/>
        <v>35309.2</v>
      </c>
      <c r="E24" s="96">
        <f t="shared" si="7"/>
        <v>0</v>
      </c>
      <c r="F24" s="97">
        <f t="shared" si="7"/>
        <v>0</v>
      </c>
      <c r="G24" s="97">
        <f t="shared" si="7"/>
        <v>0</v>
      </c>
      <c r="H24" s="97">
        <f t="shared" si="7"/>
        <v>0</v>
      </c>
      <c r="I24" s="97">
        <f t="shared" si="7"/>
        <v>0</v>
      </c>
      <c r="J24" s="97">
        <f t="shared" si="7"/>
        <v>0</v>
      </c>
      <c r="K24" s="99"/>
    </row>
    <row r="25" spans="1:11" s="10" customFormat="1" ht="15" customHeight="1">
      <c r="A25" s="93">
        <v>10</v>
      </c>
      <c r="B25" s="94" t="s">
        <v>10</v>
      </c>
      <c r="C25" s="97">
        <f>SUM(D25:J25)</f>
        <v>0</v>
      </c>
      <c r="D25" s="96">
        <f>SUM(D44)</f>
        <v>0</v>
      </c>
      <c r="E25" s="96">
        <f aca="true" t="shared" si="8" ref="E25:J25">SUM(E44)</f>
        <v>0</v>
      </c>
      <c r="F25" s="97">
        <f t="shared" si="8"/>
        <v>0</v>
      </c>
      <c r="G25" s="97">
        <f t="shared" si="8"/>
        <v>0</v>
      </c>
      <c r="H25" s="97">
        <f t="shared" si="8"/>
        <v>0</v>
      </c>
      <c r="I25" s="97">
        <f t="shared" si="8"/>
        <v>0</v>
      </c>
      <c r="J25" s="97">
        <f t="shared" si="8"/>
        <v>0</v>
      </c>
      <c r="K25" s="99"/>
    </row>
    <row r="26" spans="1:11" s="10" customFormat="1" ht="15" customHeight="1">
      <c r="A26" s="93"/>
      <c r="B26" s="94"/>
      <c r="C26" s="102"/>
      <c r="D26" s="101"/>
      <c r="E26" s="101"/>
      <c r="F26" s="102"/>
      <c r="G26" s="102"/>
      <c r="H26" s="102"/>
      <c r="I26" s="102"/>
      <c r="J26" s="102"/>
      <c r="K26" s="103"/>
    </row>
    <row r="27" spans="1:11" s="11" customFormat="1" ht="30" customHeight="1">
      <c r="A27" s="93">
        <v>11</v>
      </c>
      <c r="B27" s="94" t="s">
        <v>72</v>
      </c>
      <c r="C27" s="102">
        <f>SUM(C28:C31)</f>
        <v>4788543.82019</v>
      </c>
      <c r="D27" s="101">
        <f aca="true" t="shared" si="9" ref="D27:J27">SUM(D28:D31)</f>
        <v>653093.2829999999</v>
      </c>
      <c r="E27" s="101">
        <f t="shared" si="9"/>
        <v>706136.937</v>
      </c>
      <c r="F27" s="102">
        <f t="shared" si="9"/>
        <v>694438.8596000001</v>
      </c>
      <c r="G27" s="102">
        <f t="shared" si="9"/>
        <v>693189.2405900001</v>
      </c>
      <c r="H27" s="102">
        <f t="shared" si="9"/>
        <v>683008.4</v>
      </c>
      <c r="I27" s="102">
        <f t="shared" si="9"/>
        <v>683740.2</v>
      </c>
      <c r="J27" s="102">
        <f t="shared" si="9"/>
        <v>674936.9</v>
      </c>
      <c r="K27" s="98"/>
    </row>
    <row r="28" spans="1:11" s="10" customFormat="1" ht="15" customHeight="1">
      <c r="A28" s="93">
        <v>12</v>
      </c>
      <c r="B28" s="94" t="s">
        <v>7</v>
      </c>
      <c r="C28" s="97">
        <f>SUM(D28:J28)</f>
        <v>1790424.57319</v>
      </c>
      <c r="D28" s="96">
        <f aca="true" t="shared" si="10" ref="D28:J28">SUM(D72+D168+D297+D319+D364+D407)</f>
        <v>309500.608</v>
      </c>
      <c r="E28" s="96">
        <f t="shared" si="10"/>
        <v>315785.155</v>
      </c>
      <c r="F28" s="97">
        <f t="shared" si="10"/>
        <v>227126.25960000002</v>
      </c>
      <c r="G28" s="97">
        <f t="shared" si="10"/>
        <v>237760.65059</v>
      </c>
      <c r="H28" s="97">
        <f t="shared" si="10"/>
        <v>233181.20000000004</v>
      </c>
      <c r="I28" s="97">
        <f t="shared" si="10"/>
        <v>233913</v>
      </c>
      <c r="J28" s="97">
        <f t="shared" si="10"/>
        <v>233157.7</v>
      </c>
      <c r="K28" s="99"/>
    </row>
    <row r="29" spans="1:11" s="10" customFormat="1" ht="15" customHeight="1">
      <c r="A29" s="93">
        <v>13</v>
      </c>
      <c r="B29" s="94" t="s">
        <v>8</v>
      </c>
      <c r="C29" s="97">
        <f>SUM(D29:J29)</f>
        <v>8764.596</v>
      </c>
      <c r="D29" s="96">
        <f aca="true" t="shared" si="11" ref="D29:J29">SUM(D73+D169+D320+D408)</f>
        <v>1155.675</v>
      </c>
      <c r="E29" s="96">
        <f t="shared" si="11"/>
        <v>2441.431</v>
      </c>
      <c r="F29" s="97">
        <f t="shared" si="11"/>
        <v>3911.7</v>
      </c>
      <c r="G29" s="97">
        <f t="shared" si="11"/>
        <v>1255.79</v>
      </c>
      <c r="H29" s="97">
        <f t="shared" si="11"/>
        <v>0</v>
      </c>
      <c r="I29" s="97">
        <f t="shared" si="11"/>
        <v>0</v>
      </c>
      <c r="J29" s="97">
        <f t="shared" si="11"/>
        <v>0</v>
      </c>
      <c r="K29" s="99"/>
    </row>
    <row r="30" spans="1:11" s="10" customFormat="1" ht="15" customHeight="1">
      <c r="A30" s="93">
        <v>14</v>
      </c>
      <c r="B30" s="94" t="s">
        <v>9</v>
      </c>
      <c r="C30" s="97">
        <f>SUM(D30:J30)</f>
        <v>2697657.251</v>
      </c>
      <c r="D30" s="96">
        <f aca="true" t="shared" si="12" ref="D30:J30">SUM(D74+D170+D279+D321+D412)</f>
        <v>307239.6</v>
      </c>
      <c r="E30" s="96">
        <f t="shared" si="12"/>
        <v>349910.351</v>
      </c>
      <c r="F30" s="97">
        <f t="shared" si="12"/>
        <v>421700.9</v>
      </c>
      <c r="G30" s="97">
        <f t="shared" si="12"/>
        <v>409972.8</v>
      </c>
      <c r="H30" s="97">
        <f t="shared" si="12"/>
        <v>405627.2</v>
      </c>
      <c r="I30" s="97">
        <f t="shared" si="12"/>
        <v>405627.2</v>
      </c>
      <c r="J30" s="97">
        <f t="shared" si="12"/>
        <v>397579.2</v>
      </c>
      <c r="K30" s="99"/>
    </row>
    <row r="31" spans="1:11" s="10" customFormat="1" ht="15" customHeight="1">
      <c r="A31" s="93">
        <v>15</v>
      </c>
      <c r="B31" s="94" t="s">
        <v>10</v>
      </c>
      <c r="C31" s="97">
        <f>SUM(D31:J31)</f>
        <v>291697.4</v>
      </c>
      <c r="D31" s="96">
        <f aca="true" t="shared" si="13" ref="D31:J31">SUM(D75+D171)</f>
        <v>35197.4</v>
      </c>
      <c r="E31" s="96">
        <f t="shared" si="13"/>
        <v>38000</v>
      </c>
      <c r="F31" s="97">
        <f t="shared" si="13"/>
        <v>41700</v>
      </c>
      <c r="G31" s="97">
        <f t="shared" si="13"/>
        <v>44200</v>
      </c>
      <c r="H31" s="97">
        <f t="shared" si="13"/>
        <v>44200</v>
      </c>
      <c r="I31" s="97">
        <f t="shared" si="13"/>
        <v>44200</v>
      </c>
      <c r="J31" s="97">
        <f t="shared" si="13"/>
        <v>44200</v>
      </c>
      <c r="K31" s="99"/>
    </row>
    <row r="32" spans="1:11" s="10" customFormat="1" ht="15" customHeight="1">
      <c r="A32" s="93"/>
      <c r="B32" s="104"/>
      <c r="C32" s="105"/>
      <c r="D32" s="106"/>
      <c r="E32" s="106"/>
      <c r="F32" s="106"/>
      <c r="G32" s="105"/>
      <c r="H32" s="105"/>
      <c r="I32" s="105"/>
      <c r="J32" s="105"/>
      <c r="K32" s="103"/>
    </row>
    <row r="33" spans="1:11" s="4" customFormat="1" ht="15" customHeight="1">
      <c r="A33" s="107"/>
      <c r="B33" s="108" t="s">
        <v>0</v>
      </c>
      <c r="C33" s="109"/>
      <c r="D33" s="109"/>
      <c r="E33" s="109"/>
      <c r="F33" s="109"/>
      <c r="G33" s="109"/>
      <c r="H33" s="109"/>
      <c r="I33" s="109"/>
      <c r="J33" s="109"/>
      <c r="K33" s="110"/>
    </row>
    <row r="34" spans="1:13" s="15" customFormat="1" ht="33" customHeight="1">
      <c r="A34" s="111">
        <v>16</v>
      </c>
      <c r="B34" s="65" t="s">
        <v>14</v>
      </c>
      <c r="C34" s="112">
        <f>SUM(C35:C38)</f>
        <v>2004577.421</v>
      </c>
      <c r="D34" s="96">
        <f>SUM(D35:D38)</f>
        <v>286746.642</v>
      </c>
      <c r="E34" s="96">
        <f aca="true" t="shared" si="14" ref="E34:J34">SUM(E35:E38)</f>
        <v>313283.712</v>
      </c>
      <c r="F34" s="97">
        <f t="shared" si="14"/>
        <v>268895.537</v>
      </c>
      <c r="G34" s="97">
        <f t="shared" si="14"/>
        <v>273954.53</v>
      </c>
      <c r="H34" s="97">
        <f t="shared" si="14"/>
        <v>285899</v>
      </c>
      <c r="I34" s="97">
        <f t="shared" si="14"/>
        <v>286899</v>
      </c>
      <c r="J34" s="97">
        <f t="shared" si="14"/>
        <v>288899</v>
      </c>
      <c r="K34" s="113"/>
      <c r="L34" s="61"/>
      <c r="M34" s="52"/>
    </row>
    <row r="35" spans="1:13" s="5" customFormat="1" ht="15" customHeight="1">
      <c r="A35" s="111">
        <v>17</v>
      </c>
      <c r="B35" s="65" t="s">
        <v>7</v>
      </c>
      <c r="C35" s="112">
        <f>SUM(D35:J35)</f>
        <v>685723.321</v>
      </c>
      <c r="D35" s="96">
        <f aca="true" t="shared" si="15" ref="D35:J35">SUM(D41+D72)</f>
        <v>108807.342</v>
      </c>
      <c r="E35" s="96">
        <f t="shared" si="15"/>
        <v>144100.712</v>
      </c>
      <c r="F35" s="97">
        <f t="shared" si="15"/>
        <v>79206.73700000001</v>
      </c>
      <c r="G35" s="97">
        <f t="shared" si="15"/>
        <v>86118.53</v>
      </c>
      <c r="H35" s="97">
        <f t="shared" si="15"/>
        <v>87830</v>
      </c>
      <c r="I35" s="97">
        <f t="shared" si="15"/>
        <v>88830</v>
      </c>
      <c r="J35" s="97">
        <f t="shared" si="15"/>
        <v>90830</v>
      </c>
      <c r="K35" s="114"/>
      <c r="L35" s="60"/>
      <c r="M35" s="57"/>
    </row>
    <row r="36" spans="1:13" s="5" customFormat="1" ht="15" customHeight="1">
      <c r="A36" s="111">
        <v>18</v>
      </c>
      <c r="B36" s="65" t="s">
        <v>8</v>
      </c>
      <c r="C36" s="112">
        <f>SUM(D36:J36)</f>
        <v>12802.1</v>
      </c>
      <c r="D36" s="96">
        <f>SUM(D42)</f>
        <v>12802.1</v>
      </c>
      <c r="E36" s="96">
        <f aca="true" t="shared" si="16" ref="E36:J36">SUM(E42)</f>
        <v>0</v>
      </c>
      <c r="F36" s="97">
        <f t="shared" si="16"/>
        <v>0</v>
      </c>
      <c r="G36" s="97">
        <f t="shared" si="16"/>
        <v>0</v>
      </c>
      <c r="H36" s="97">
        <f t="shared" si="16"/>
        <v>0</v>
      </c>
      <c r="I36" s="97">
        <f t="shared" si="16"/>
        <v>0</v>
      </c>
      <c r="J36" s="97">
        <f t="shared" si="16"/>
        <v>0</v>
      </c>
      <c r="K36" s="114"/>
      <c r="L36" s="60"/>
      <c r="M36" s="57"/>
    </row>
    <row r="37" spans="1:13" s="5" customFormat="1" ht="15" customHeight="1">
      <c r="A37" s="111">
        <v>19</v>
      </c>
      <c r="B37" s="65" t="s">
        <v>9</v>
      </c>
      <c r="C37" s="112">
        <f>SUM(D37:J37)</f>
        <v>1033052</v>
      </c>
      <c r="D37" s="96">
        <f aca="true" t="shared" si="17" ref="D37:J37">SUM(D43+D74)</f>
        <v>134137.2</v>
      </c>
      <c r="E37" s="96">
        <f t="shared" si="17"/>
        <v>131183</v>
      </c>
      <c r="F37" s="97">
        <f t="shared" si="17"/>
        <v>149688.8</v>
      </c>
      <c r="G37" s="97">
        <f t="shared" si="17"/>
        <v>146836</v>
      </c>
      <c r="H37" s="97">
        <f t="shared" si="17"/>
        <v>157069</v>
      </c>
      <c r="I37" s="97">
        <f t="shared" si="17"/>
        <v>157069</v>
      </c>
      <c r="J37" s="97">
        <f t="shared" si="17"/>
        <v>157069</v>
      </c>
      <c r="K37" s="114"/>
      <c r="L37" s="60"/>
      <c r="M37" s="57"/>
    </row>
    <row r="38" spans="1:13" s="5" customFormat="1" ht="15" customHeight="1">
      <c r="A38" s="111">
        <v>20</v>
      </c>
      <c r="B38" s="65" t="s">
        <v>10</v>
      </c>
      <c r="C38" s="112">
        <f>SUM(D38:J38)</f>
        <v>273000</v>
      </c>
      <c r="D38" s="96">
        <f>SUM(D75)</f>
        <v>31000</v>
      </c>
      <c r="E38" s="96">
        <f aca="true" t="shared" si="18" ref="E38:J38">SUM(E75)</f>
        <v>38000</v>
      </c>
      <c r="F38" s="97">
        <f t="shared" si="18"/>
        <v>40000</v>
      </c>
      <c r="G38" s="97">
        <f t="shared" si="18"/>
        <v>41000</v>
      </c>
      <c r="H38" s="97">
        <f t="shared" si="18"/>
        <v>41000</v>
      </c>
      <c r="I38" s="97">
        <f t="shared" si="18"/>
        <v>41000</v>
      </c>
      <c r="J38" s="97">
        <f t="shared" si="18"/>
        <v>41000</v>
      </c>
      <c r="K38" s="114"/>
      <c r="L38" s="60"/>
      <c r="M38" s="57"/>
    </row>
    <row r="39" spans="1:11" s="5" customFormat="1" ht="15" customHeight="1">
      <c r="A39" s="107"/>
      <c r="B39" s="108" t="s">
        <v>11</v>
      </c>
      <c r="C39" s="109"/>
      <c r="D39" s="109"/>
      <c r="E39" s="109"/>
      <c r="F39" s="109"/>
      <c r="G39" s="109"/>
      <c r="H39" s="109"/>
      <c r="I39" s="109"/>
      <c r="J39" s="109"/>
      <c r="K39" s="110"/>
    </row>
    <row r="40" spans="1:11" s="15" customFormat="1" ht="31.5" customHeight="1">
      <c r="A40" s="111">
        <v>21</v>
      </c>
      <c r="B40" s="65" t="s">
        <v>98</v>
      </c>
      <c r="C40" s="112">
        <f>SUM(D40:J40)</f>
        <v>49099.123</v>
      </c>
      <c r="D40" s="96">
        <f>SUM(D41:D44)</f>
        <v>49099.123</v>
      </c>
      <c r="E40" s="96">
        <f aca="true" t="shared" si="19" ref="E40:J40">SUM(E41:E44)</f>
        <v>0</v>
      </c>
      <c r="F40" s="97">
        <f t="shared" si="19"/>
        <v>0</v>
      </c>
      <c r="G40" s="97">
        <f t="shared" si="19"/>
        <v>0</v>
      </c>
      <c r="H40" s="97">
        <f t="shared" si="19"/>
        <v>0</v>
      </c>
      <c r="I40" s="97">
        <f t="shared" si="19"/>
        <v>0</v>
      </c>
      <c r="J40" s="97">
        <f t="shared" si="19"/>
        <v>0</v>
      </c>
      <c r="K40" s="115"/>
    </row>
    <row r="41" spans="1:11" s="5" customFormat="1" ht="15" customHeight="1">
      <c r="A41" s="111">
        <v>22</v>
      </c>
      <c r="B41" s="65" t="s">
        <v>7</v>
      </c>
      <c r="C41" s="112">
        <f>SUM(D41:J41)</f>
        <v>1737.823</v>
      </c>
      <c r="D41" s="96">
        <f aca="true" t="shared" si="20" ref="D41:J41">SUM(D47+D65)</f>
        <v>1737.823</v>
      </c>
      <c r="E41" s="96">
        <f t="shared" si="20"/>
        <v>0</v>
      </c>
      <c r="F41" s="97">
        <f t="shared" si="20"/>
        <v>0</v>
      </c>
      <c r="G41" s="97">
        <f t="shared" si="20"/>
        <v>0</v>
      </c>
      <c r="H41" s="97">
        <f t="shared" si="20"/>
        <v>0</v>
      </c>
      <c r="I41" s="97">
        <f t="shared" si="20"/>
        <v>0</v>
      </c>
      <c r="J41" s="97">
        <f t="shared" si="20"/>
        <v>0</v>
      </c>
      <c r="K41" s="114"/>
    </row>
    <row r="42" spans="1:11" s="5" customFormat="1" ht="15" customHeight="1">
      <c r="A42" s="111">
        <v>23</v>
      </c>
      <c r="B42" s="65" t="s">
        <v>8</v>
      </c>
      <c r="C42" s="112">
        <f>SUM(D42:J42)</f>
        <v>12802.1</v>
      </c>
      <c r="D42" s="96">
        <f>SUM(D48)</f>
        <v>12802.1</v>
      </c>
      <c r="E42" s="96">
        <f aca="true" t="shared" si="21" ref="E42:J42">SUM(E48)</f>
        <v>0</v>
      </c>
      <c r="F42" s="97">
        <f t="shared" si="21"/>
        <v>0</v>
      </c>
      <c r="G42" s="97">
        <f t="shared" si="21"/>
        <v>0</v>
      </c>
      <c r="H42" s="97">
        <f t="shared" si="21"/>
        <v>0</v>
      </c>
      <c r="I42" s="97">
        <f t="shared" si="21"/>
        <v>0</v>
      </c>
      <c r="J42" s="97">
        <f t="shared" si="21"/>
        <v>0</v>
      </c>
      <c r="K42" s="114"/>
    </row>
    <row r="43" spans="1:11" s="5" customFormat="1" ht="15" customHeight="1">
      <c r="A43" s="111">
        <v>24</v>
      </c>
      <c r="B43" s="65" t="s">
        <v>9</v>
      </c>
      <c r="C43" s="112">
        <f>SUM(D43:J43)</f>
        <v>34559.2</v>
      </c>
      <c r="D43" s="96">
        <f aca="true" t="shared" si="22" ref="D43:J43">SUM(D49+D67)</f>
        <v>34559.2</v>
      </c>
      <c r="E43" s="96">
        <f t="shared" si="22"/>
        <v>0</v>
      </c>
      <c r="F43" s="97">
        <f t="shared" si="22"/>
        <v>0</v>
      </c>
      <c r="G43" s="97">
        <f t="shared" si="22"/>
        <v>0</v>
      </c>
      <c r="H43" s="97">
        <f t="shared" si="22"/>
        <v>0</v>
      </c>
      <c r="I43" s="97">
        <f t="shared" si="22"/>
        <v>0</v>
      </c>
      <c r="J43" s="97">
        <f t="shared" si="22"/>
        <v>0</v>
      </c>
      <c r="K43" s="114"/>
    </row>
    <row r="44" spans="1:11" s="5" customFormat="1" ht="15" customHeight="1">
      <c r="A44" s="111">
        <v>25</v>
      </c>
      <c r="B44" s="65" t="s">
        <v>10</v>
      </c>
      <c r="C44" s="112">
        <f>SUM(D44:J44)</f>
        <v>0</v>
      </c>
      <c r="D44" s="96"/>
      <c r="E44" s="96"/>
      <c r="F44" s="96"/>
      <c r="G44" s="97"/>
      <c r="H44" s="97"/>
      <c r="I44" s="97"/>
      <c r="J44" s="97"/>
      <c r="K44" s="114"/>
    </row>
    <row r="45" spans="1:11" s="5" customFormat="1" ht="15" customHeight="1">
      <c r="A45" s="107"/>
      <c r="B45" s="108" t="s">
        <v>12</v>
      </c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1" s="15" customFormat="1" ht="45.75" customHeight="1">
      <c r="A46" s="111">
        <v>26</v>
      </c>
      <c r="B46" s="65" t="s">
        <v>99</v>
      </c>
      <c r="C46" s="112">
        <f>SUM(C47:C50)</f>
        <v>49099.123</v>
      </c>
      <c r="D46" s="116">
        <f aca="true" t="shared" si="23" ref="D46:J46">SUM(D47:D50)</f>
        <v>49099.123</v>
      </c>
      <c r="E46" s="116">
        <f t="shared" si="23"/>
        <v>0</v>
      </c>
      <c r="F46" s="112">
        <f t="shared" si="23"/>
        <v>0</v>
      </c>
      <c r="G46" s="112">
        <f t="shared" si="23"/>
        <v>0</v>
      </c>
      <c r="H46" s="112">
        <f t="shared" si="23"/>
        <v>0</v>
      </c>
      <c r="I46" s="112">
        <f t="shared" si="23"/>
        <v>0</v>
      </c>
      <c r="J46" s="112">
        <f t="shared" si="23"/>
        <v>0</v>
      </c>
      <c r="K46" s="114"/>
    </row>
    <row r="47" spans="1:11" s="5" customFormat="1" ht="15" customHeight="1">
      <c r="A47" s="111">
        <v>27</v>
      </c>
      <c r="B47" s="65" t="s">
        <v>7</v>
      </c>
      <c r="C47" s="112">
        <f>SUM(D47:J47)</f>
        <v>1737.823</v>
      </c>
      <c r="D47" s="116">
        <f>SUM(D53+D59)</f>
        <v>1737.823</v>
      </c>
      <c r="E47" s="116">
        <f>SUM(E53+E59)</f>
        <v>0</v>
      </c>
      <c r="F47" s="112"/>
      <c r="G47" s="112">
        <f>SUM(G53+G59)</f>
        <v>0</v>
      </c>
      <c r="H47" s="112"/>
      <c r="I47" s="112"/>
      <c r="J47" s="112"/>
      <c r="K47" s="114"/>
    </row>
    <row r="48" spans="1:11" s="5" customFormat="1" ht="15" customHeight="1">
      <c r="A48" s="111">
        <v>28</v>
      </c>
      <c r="B48" s="65" t="s">
        <v>8</v>
      </c>
      <c r="C48" s="112">
        <f>SUM(D48:J48)</f>
        <v>12802.1</v>
      </c>
      <c r="D48" s="116">
        <f>SUM(D54)</f>
        <v>12802.1</v>
      </c>
      <c r="E48" s="116">
        <f>SUM(E54)</f>
        <v>0</v>
      </c>
      <c r="F48" s="112"/>
      <c r="G48" s="112"/>
      <c r="H48" s="112"/>
      <c r="I48" s="112"/>
      <c r="J48" s="112"/>
      <c r="K48" s="114"/>
    </row>
    <row r="49" spans="1:11" s="5" customFormat="1" ht="15" customHeight="1">
      <c r="A49" s="111">
        <v>29</v>
      </c>
      <c r="B49" s="65" t="s">
        <v>9</v>
      </c>
      <c r="C49" s="112">
        <f>SUM(D49:J49)</f>
        <v>34559.2</v>
      </c>
      <c r="D49" s="116">
        <f>SUM(D55)</f>
        <v>34559.2</v>
      </c>
      <c r="E49" s="116">
        <f>SUM(E55)</f>
        <v>0</v>
      </c>
      <c r="F49" s="112"/>
      <c r="G49" s="112"/>
      <c r="H49" s="112"/>
      <c r="I49" s="112"/>
      <c r="J49" s="112"/>
      <c r="K49" s="114"/>
    </row>
    <row r="50" spans="1:11" s="5" customFormat="1" ht="15" customHeight="1">
      <c r="A50" s="111">
        <v>30</v>
      </c>
      <c r="B50" s="65" t="s">
        <v>10</v>
      </c>
      <c r="C50" s="112">
        <f>SUM(D50:J50)</f>
        <v>0</v>
      </c>
      <c r="D50" s="96">
        <v>0</v>
      </c>
      <c r="E50" s="96">
        <v>0</v>
      </c>
      <c r="F50" s="97"/>
      <c r="G50" s="97"/>
      <c r="H50" s="97"/>
      <c r="I50" s="97"/>
      <c r="J50" s="97"/>
      <c r="K50" s="114"/>
    </row>
    <row r="51" spans="1:11" s="5" customFormat="1" ht="15" customHeight="1">
      <c r="A51" s="111"/>
      <c r="B51" s="65"/>
      <c r="C51" s="112"/>
      <c r="D51" s="116"/>
      <c r="E51" s="116"/>
      <c r="F51" s="112"/>
      <c r="G51" s="112"/>
      <c r="H51" s="112"/>
      <c r="I51" s="112"/>
      <c r="J51" s="112"/>
      <c r="K51" s="114"/>
    </row>
    <row r="52" spans="1:11" s="5" customFormat="1" ht="50.25" customHeight="1">
      <c r="A52" s="111">
        <v>31</v>
      </c>
      <c r="B52" s="65" t="s">
        <v>103</v>
      </c>
      <c r="C52" s="112">
        <f>SUM(C53:C56)</f>
        <v>49099.123</v>
      </c>
      <c r="D52" s="116">
        <f aca="true" t="shared" si="24" ref="D52:J52">SUM(D53:D56)</f>
        <v>49099.123</v>
      </c>
      <c r="E52" s="116">
        <f t="shared" si="24"/>
        <v>0</v>
      </c>
      <c r="F52" s="112">
        <f t="shared" si="24"/>
        <v>0</v>
      </c>
      <c r="G52" s="112">
        <f t="shared" si="24"/>
        <v>0</v>
      </c>
      <c r="H52" s="112">
        <f t="shared" si="24"/>
        <v>0</v>
      </c>
      <c r="I52" s="112">
        <f t="shared" si="24"/>
        <v>0</v>
      </c>
      <c r="J52" s="112">
        <f t="shared" si="24"/>
        <v>0</v>
      </c>
      <c r="K52" s="114" t="s">
        <v>155</v>
      </c>
    </row>
    <row r="53" spans="1:11" s="5" customFormat="1" ht="15" customHeight="1">
      <c r="A53" s="111">
        <v>32</v>
      </c>
      <c r="B53" s="65" t="s">
        <v>7</v>
      </c>
      <c r="C53" s="112">
        <f>SUM(D53:J53)</f>
        <v>1737.823</v>
      </c>
      <c r="D53" s="96">
        <v>1737.823</v>
      </c>
      <c r="E53" s="96"/>
      <c r="F53" s="97"/>
      <c r="G53" s="97"/>
      <c r="H53" s="97"/>
      <c r="I53" s="97"/>
      <c r="J53" s="97"/>
      <c r="K53" s="114"/>
    </row>
    <row r="54" spans="1:11" s="5" customFormat="1" ht="15" customHeight="1">
      <c r="A54" s="111">
        <v>33</v>
      </c>
      <c r="B54" s="65" t="s">
        <v>8</v>
      </c>
      <c r="C54" s="112">
        <f>SUM(D54:J54)</f>
        <v>12802.1</v>
      </c>
      <c r="D54" s="96">
        <v>12802.1</v>
      </c>
      <c r="E54" s="96"/>
      <c r="F54" s="97"/>
      <c r="G54" s="97"/>
      <c r="H54" s="97"/>
      <c r="I54" s="97"/>
      <c r="J54" s="97"/>
      <c r="K54" s="114"/>
    </row>
    <row r="55" spans="1:11" s="5" customFormat="1" ht="15" customHeight="1">
      <c r="A55" s="111">
        <v>34</v>
      </c>
      <c r="B55" s="65" t="s">
        <v>9</v>
      </c>
      <c r="C55" s="112">
        <f>SUM(D55:J55)</f>
        <v>34559.2</v>
      </c>
      <c r="D55" s="96">
        <v>34559.2</v>
      </c>
      <c r="E55" s="96"/>
      <c r="F55" s="97"/>
      <c r="G55" s="97"/>
      <c r="H55" s="97"/>
      <c r="I55" s="97"/>
      <c r="J55" s="97"/>
      <c r="K55" s="114"/>
    </row>
    <row r="56" spans="1:11" s="5" customFormat="1" ht="15" customHeight="1">
      <c r="A56" s="111">
        <v>35</v>
      </c>
      <c r="B56" s="65" t="s">
        <v>10</v>
      </c>
      <c r="C56" s="112">
        <f>SUM(D56:J56)</f>
        <v>0</v>
      </c>
      <c r="D56" s="96">
        <v>0</v>
      </c>
      <c r="E56" s="96"/>
      <c r="F56" s="97"/>
      <c r="G56" s="97"/>
      <c r="H56" s="97"/>
      <c r="I56" s="97"/>
      <c r="J56" s="97"/>
      <c r="K56" s="114"/>
    </row>
    <row r="57" spans="1:11" s="5" customFormat="1" ht="15" customHeight="1">
      <c r="A57" s="111"/>
      <c r="B57" s="65"/>
      <c r="C57" s="112"/>
      <c r="D57" s="96"/>
      <c r="E57" s="116"/>
      <c r="F57" s="112"/>
      <c r="G57" s="112"/>
      <c r="H57" s="112"/>
      <c r="I57" s="112"/>
      <c r="J57" s="112"/>
      <c r="K57" s="114"/>
    </row>
    <row r="58" spans="1:11" s="5" customFormat="1" ht="50.25" customHeight="1">
      <c r="A58" s="111" t="s">
        <v>191</v>
      </c>
      <c r="B58" s="65" t="s">
        <v>192</v>
      </c>
      <c r="C58" s="112">
        <f>SUM(C59)</f>
        <v>0</v>
      </c>
      <c r="D58" s="112">
        <f aca="true" t="shared" si="25" ref="D58:J58">SUM(D59)</f>
        <v>0</v>
      </c>
      <c r="E58" s="112">
        <f t="shared" si="25"/>
        <v>0</v>
      </c>
      <c r="F58" s="112">
        <f t="shared" si="25"/>
        <v>0</v>
      </c>
      <c r="G58" s="112">
        <f t="shared" si="25"/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4" t="s">
        <v>324</v>
      </c>
    </row>
    <row r="59" spans="1:11" s="5" customFormat="1" ht="15" customHeight="1">
      <c r="A59" s="111" t="s">
        <v>193</v>
      </c>
      <c r="B59" s="65" t="s">
        <v>7</v>
      </c>
      <c r="C59" s="112">
        <f>SUM(D59:J59)</f>
        <v>0</v>
      </c>
      <c r="D59" s="96">
        <f>SUM(D61)</f>
        <v>0</v>
      </c>
      <c r="E59" s="96">
        <f aca="true" t="shared" si="26" ref="E59:J59">SUM(E61)</f>
        <v>0</v>
      </c>
      <c r="F59" s="97">
        <f t="shared" si="26"/>
        <v>0</v>
      </c>
      <c r="G59" s="97">
        <f t="shared" si="26"/>
        <v>0</v>
      </c>
      <c r="H59" s="97">
        <f t="shared" si="26"/>
        <v>0</v>
      </c>
      <c r="I59" s="97">
        <f t="shared" si="26"/>
        <v>0</v>
      </c>
      <c r="J59" s="97">
        <f t="shared" si="26"/>
        <v>0</v>
      </c>
      <c r="K59" s="114"/>
    </row>
    <row r="60" spans="1:11" s="5" customFormat="1" ht="15" customHeight="1">
      <c r="A60" s="111"/>
      <c r="B60" s="65" t="s">
        <v>19</v>
      </c>
      <c r="C60" s="112"/>
      <c r="D60" s="96"/>
      <c r="E60" s="116"/>
      <c r="F60" s="112"/>
      <c r="G60" s="112"/>
      <c r="H60" s="112"/>
      <c r="I60" s="112"/>
      <c r="J60" s="112"/>
      <c r="K60" s="114"/>
    </row>
    <row r="61" spans="1:11" s="5" customFormat="1" ht="15" customHeight="1">
      <c r="A61" s="111" t="s">
        <v>194</v>
      </c>
      <c r="B61" s="65" t="s">
        <v>195</v>
      </c>
      <c r="C61" s="112">
        <f>SUM(D61:J61)</f>
        <v>0</v>
      </c>
      <c r="D61" s="96"/>
      <c r="E61" s="116"/>
      <c r="F61" s="112"/>
      <c r="G61" s="112">
        <f>8000-8000</f>
        <v>0</v>
      </c>
      <c r="H61" s="112"/>
      <c r="I61" s="112"/>
      <c r="J61" s="112"/>
      <c r="K61" s="114"/>
    </row>
    <row r="62" spans="1:11" s="5" customFormat="1" ht="15" customHeight="1">
      <c r="A62" s="111"/>
      <c r="B62" s="65"/>
      <c r="C62" s="112"/>
      <c r="D62" s="96"/>
      <c r="E62" s="116"/>
      <c r="F62" s="112"/>
      <c r="G62" s="112"/>
      <c r="H62" s="112"/>
      <c r="I62" s="112"/>
      <c r="J62" s="112"/>
      <c r="K62" s="114"/>
    </row>
    <row r="63" spans="1:11" s="5" customFormat="1" ht="15" customHeight="1">
      <c r="A63" s="107"/>
      <c r="B63" s="108" t="s">
        <v>23</v>
      </c>
      <c r="C63" s="109"/>
      <c r="D63" s="109"/>
      <c r="E63" s="109"/>
      <c r="F63" s="109"/>
      <c r="G63" s="109"/>
      <c r="H63" s="109"/>
      <c r="I63" s="109"/>
      <c r="J63" s="109"/>
      <c r="K63" s="110"/>
    </row>
    <row r="64" spans="1:11" s="16" customFormat="1" ht="31.5">
      <c r="A64" s="111" t="s">
        <v>203</v>
      </c>
      <c r="B64" s="65" t="s">
        <v>100</v>
      </c>
      <c r="C64" s="112">
        <f>SUM(C65:C68)</f>
        <v>0</v>
      </c>
      <c r="D64" s="96">
        <f aca="true" t="shared" si="27" ref="D64:J64">SUM(D66:D68)</f>
        <v>0</v>
      </c>
      <c r="E64" s="96">
        <f>SUM(E65:E68)</f>
        <v>0</v>
      </c>
      <c r="F64" s="97">
        <f>SUM(F65:F68)</f>
        <v>0</v>
      </c>
      <c r="G64" s="97">
        <f t="shared" si="27"/>
        <v>0</v>
      </c>
      <c r="H64" s="97">
        <f t="shared" si="27"/>
        <v>0</v>
      </c>
      <c r="I64" s="97">
        <f t="shared" si="27"/>
        <v>0</v>
      </c>
      <c r="J64" s="97">
        <f t="shared" si="27"/>
        <v>0</v>
      </c>
      <c r="K64" s="115"/>
    </row>
    <row r="65" spans="1:11" s="7" customFormat="1" ht="15" customHeight="1">
      <c r="A65" s="111" t="s">
        <v>204</v>
      </c>
      <c r="B65" s="65" t="s">
        <v>7</v>
      </c>
      <c r="C65" s="112">
        <f>SUM(D65:J65)</f>
        <v>0</v>
      </c>
      <c r="D65" s="96"/>
      <c r="E65" s="96"/>
      <c r="F65" s="97"/>
      <c r="G65" s="97"/>
      <c r="H65" s="97"/>
      <c r="I65" s="97"/>
      <c r="J65" s="97"/>
      <c r="K65" s="114"/>
    </row>
    <row r="66" spans="1:11" s="13" customFormat="1" ht="15" customHeight="1">
      <c r="A66" s="111" t="s">
        <v>205</v>
      </c>
      <c r="B66" s="65" t="s">
        <v>8</v>
      </c>
      <c r="C66" s="112">
        <f>SUM(D66:J66)</f>
        <v>0</v>
      </c>
      <c r="D66" s="96"/>
      <c r="E66" s="117"/>
      <c r="F66" s="118"/>
      <c r="G66" s="118"/>
      <c r="H66" s="118"/>
      <c r="I66" s="118"/>
      <c r="J66" s="118"/>
      <c r="K66" s="115"/>
    </row>
    <row r="67" spans="1:11" s="7" customFormat="1" ht="15" customHeight="1">
      <c r="A67" s="111" t="s">
        <v>206</v>
      </c>
      <c r="B67" s="65" t="s">
        <v>9</v>
      </c>
      <c r="C67" s="112">
        <f>SUM(D67:J67)</f>
        <v>0</v>
      </c>
      <c r="D67" s="96"/>
      <c r="E67" s="96"/>
      <c r="F67" s="97"/>
      <c r="G67" s="97"/>
      <c r="H67" s="97"/>
      <c r="I67" s="97"/>
      <c r="J67" s="97"/>
      <c r="K67" s="114"/>
    </row>
    <row r="68" spans="1:11" s="7" customFormat="1" ht="15" customHeight="1">
      <c r="A68" s="111" t="s">
        <v>207</v>
      </c>
      <c r="B68" s="65" t="s">
        <v>10</v>
      </c>
      <c r="C68" s="112">
        <f>SUM(D68:J68)</f>
        <v>0</v>
      </c>
      <c r="D68" s="96"/>
      <c r="E68" s="96"/>
      <c r="F68" s="97"/>
      <c r="G68" s="97"/>
      <c r="H68" s="97"/>
      <c r="I68" s="97"/>
      <c r="J68" s="97"/>
      <c r="K68" s="114"/>
    </row>
    <row r="69" spans="1:11" s="7" customFormat="1" ht="15" customHeight="1">
      <c r="A69" s="93"/>
      <c r="B69" s="65"/>
      <c r="C69" s="97"/>
      <c r="D69" s="96"/>
      <c r="E69" s="96"/>
      <c r="F69" s="97"/>
      <c r="G69" s="97"/>
      <c r="H69" s="97"/>
      <c r="I69" s="97"/>
      <c r="J69" s="97"/>
      <c r="K69" s="114"/>
    </row>
    <row r="70" spans="1:11" s="5" customFormat="1" ht="15" customHeight="1">
      <c r="A70" s="107"/>
      <c r="B70" s="108" t="s">
        <v>15</v>
      </c>
      <c r="C70" s="109"/>
      <c r="D70" s="109"/>
      <c r="E70" s="109"/>
      <c r="F70" s="109"/>
      <c r="G70" s="109"/>
      <c r="H70" s="109"/>
      <c r="I70" s="109"/>
      <c r="J70" s="109"/>
      <c r="K70" s="110"/>
    </row>
    <row r="71" spans="1:11" s="15" customFormat="1" ht="21.75" customHeight="1">
      <c r="A71" s="111" t="s">
        <v>208</v>
      </c>
      <c r="B71" s="65" t="s">
        <v>16</v>
      </c>
      <c r="C71" s="112">
        <f>SUM(C72:C75)</f>
        <v>1955478.298</v>
      </c>
      <c r="D71" s="116">
        <f aca="true" t="shared" si="28" ref="D71:J71">SUM(D72:D75)</f>
        <v>237647.519</v>
      </c>
      <c r="E71" s="116">
        <f t="shared" si="28"/>
        <v>313283.712</v>
      </c>
      <c r="F71" s="112">
        <f t="shared" si="28"/>
        <v>268895.537</v>
      </c>
      <c r="G71" s="112">
        <f t="shared" si="28"/>
        <v>273954.53</v>
      </c>
      <c r="H71" s="112">
        <f t="shared" si="28"/>
        <v>285899</v>
      </c>
      <c r="I71" s="112">
        <f t="shared" si="28"/>
        <v>286899</v>
      </c>
      <c r="J71" s="112">
        <f t="shared" si="28"/>
        <v>288899</v>
      </c>
      <c r="K71" s="113"/>
    </row>
    <row r="72" spans="1:11" s="5" customFormat="1" ht="15" customHeight="1">
      <c r="A72" s="111" t="s">
        <v>209</v>
      </c>
      <c r="B72" s="65" t="s">
        <v>7</v>
      </c>
      <c r="C72" s="112">
        <f>SUM(D72:J72)</f>
        <v>683985.498</v>
      </c>
      <c r="D72" s="96">
        <f aca="true" t="shared" si="29" ref="D72:J72">SUM(D78+D87+D103+D108+D111)</f>
        <v>107069.519</v>
      </c>
      <c r="E72" s="96">
        <f t="shared" si="29"/>
        <v>144100.712</v>
      </c>
      <c r="F72" s="97">
        <f t="shared" si="29"/>
        <v>79206.73700000001</v>
      </c>
      <c r="G72" s="97">
        <f t="shared" si="29"/>
        <v>86118.53</v>
      </c>
      <c r="H72" s="97">
        <f t="shared" si="29"/>
        <v>87830</v>
      </c>
      <c r="I72" s="97">
        <f t="shared" si="29"/>
        <v>88830</v>
      </c>
      <c r="J72" s="97">
        <f t="shared" si="29"/>
        <v>90830</v>
      </c>
      <c r="K72" s="114"/>
    </row>
    <row r="73" spans="1:11" s="5" customFormat="1" ht="15" customHeight="1">
      <c r="A73" s="111" t="s">
        <v>210</v>
      </c>
      <c r="B73" s="65" t="s">
        <v>8</v>
      </c>
      <c r="C73" s="112">
        <f>SUM(D73:J73)</f>
        <v>0</v>
      </c>
      <c r="D73" s="96"/>
      <c r="E73" s="96"/>
      <c r="F73" s="97"/>
      <c r="G73" s="97"/>
      <c r="H73" s="97"/>
      <c r="I73" s="97"/>
      <c r="J73" s="97"/>
      <c r="K73" s="114"/>
    </row>
    <row r="74" spans="1:11" s="5" customFormat="1" ht="15" customHeight="1">
      <c r="A74" s="111" t="s">
        <v>211</v>
      </c>
      <c r="B74" s="65" t="s">
        <v>9</v>
      </c>
      <c r="C74" s="112">
        <f>SUM(D74:J74)</f>
        <v>998492.8</v>
      </c>
      <c r="D74" s="116">
        <f aca="true" t="shared" si="30" ref="D74:J74">SUM(D88+D100+D104+D112)</f>
        <v>99578</v>
      </c>
      <c r="E74" s="116">
        <f t="shared" si="30"/>
        <v>131183</v>
      </c>
      <c r="F74" s="112">
        <f t="shared" si="30"/>
        <v>149688.8</v>
      </c>
      <c r="G74" s="112">
        <f t="shared" si="30"/>
        <v>146836</v>
      </c>
      <c r="H74" s="112">
        <f t="shared" si="30"/>
        <v>157069</v>
      </c>
      <c r="I74" s="112">
        <f t="shared" si="30"/>
        <v>157069</v>
      </c>
      <c r="J74" s="112">
        <f t="shared" si="30"/>
        <v>157069</v>
      </c>
      <c r="K74" s="119"/>
    </row>
    <row r="75" spans="1:11" s="5" customFormat="1" ht="15" customHeight="1">
      <c r="A75" s="111" t="s">
        <v>212</v>
      </c>
      <c r="B75" s="66" t="s">
        <v>10</v>
      </c>
      <c r="C75" s="112">
        <f>SUM(D75:J75)</f>
        <v>273000</v>
      </c>
      <c r="D75" s="96">
        <f>SUM(D105)</f>
        <v>31000</v>
      </c>
      <c r="E75" s="96">
        <f aca="true" t="shared" si="31" ref="E75:J75">SUM(E105)</f>
        <v>38000</v>
      </c>
      <c r="F75" s="97">
        <f t="shared" si="31"/>
        <v>40000</v>
      </c>
      <c r="G75" s="97">
        <f t="shared" si="31"/>
        <v>41000</v>
      </c>
      <c r="H75" s="97">
        <f t="shared" si="31"/>
        <v>41000</v>
      </c>
      <c r="I75" s="97">
        <f t="shared" si="31"/>
        <v>41000</v>
      </c>
      <c r="J75" s="97">
        <f t="shared" si="31"/>
        <v>41000</v>
      </c>
      <c r="K75" s="114"/>
    </row>
    <row r="76" spans="1:11" s="5" customFormat="1" ht="15" customHeight="1">
      <c r="A76" s="111"/>
      <c r="B76" s="66"/>
      <c r="C76" s="112"/>
      <c r="D76" s="116"/>
      <c r="E76" s="116"/>
      <c r="F76" s="112"/>
      <c r="G76" s="112"/>
      <c r="H76" s="112"/>
      <c r="I76" s="112"/>
      <c r="J76" s="112"/>
      <c r="K76" s="114"/>
    </row>
    <row r="77" spans="1:11" s="16" customFormat="1" ht="50.25" customHeight="1">
      <c r="A77" s="111" t="s">
        <v>213</v>
      </c>
      <c r="B77" s="65" t="s">
        <v>104</v>
      </c>
      <c r="C77" s="112">
        <f>SUM(C78)</f>
        <v>8250</v>
      </c>
      <c r="D77" s="116">
        <f>SUM(D78)</f>
        <v>0</v>
      </c>
      <c r="E77" s="116">
        <f aca="true" t="shared" si="32" ref="E77:J77">SUM(E78)</f>
        <v>250</v>
      </c>
      <c r="F77" s="112">
        <f t="shared" si="32"/>
        <v>0</v>
      </c>
      <c r="G77" s="112">
        <f t="shared" si="32"/>
        <v>0</v>
      </c>
      <c r="H77" s="112">
        <f t="shared" si="32"/>
        <v>2000</v>
      </c>
      <c r="I77" s="112">
        <f t="shared" si="32"/>
        <v>2000</v>
      </c>
      <c r="J77" s="112">
        <f t="shared" si="32"/>
        <v>4000</v>
      </c>
      <c r="K77" s="114" t="s">
        <v>156</v>
      </c>
    </row>
    <row r="78" spans="1:11" s="7" customFormat="1" ht="15" customHeight="1">
      <c r="A78" s="111" t="s">
        <v>214</v>
      </c>
      <c r="B78" s="66" t="s">
        <v>7</v>
      </c>
      <c r="C78" s="112">
        <f aca="true" t="shared" si="33" ref="C78:J78">SUM(C80:C84)</f>
        <v>8250</v>
      </c>
      <c r="D78" s="96">
        <f t="shared" si="33"/>
        <v>0</v>
      </c>
      <c r="E78" s="96">
        <f t="shared" si="33"/>
        <v>250</v>
      </c>
      <c r="F78" s="97">
        <f t="shared" si="33"/>
        <v>0</v>
      </c>
      <c r="G78" s="97">
        <f t="shared" si="33"/>
        <v>0</v>
      </c>
      <c r="H78" s="97">
        <f t="shared" si="33"/>
        <v>2000</v>
      </c>
      <c r="I78" s="97">
        <f t="shared" si="33"/>
        <v>2000</v>
      </c>
      <c r="J78" s="97">
        <f t="shared" si="33"/>
        <v>4000</v>
      </c>
      <c r="K78" s="114"/>
    </row>
    <row r="79" spans="1:11" s="13" customFormat="1" ht="15" customHeight="1">
      <c r="A79" s="111"/>
      <c r="B79" s="65" t="s">
        <v>19</v>
      </c>
      <c r="C79" s="120"/>
      <c r="D79" s="117"/>
      <c r="E79" s="117"/>
      <c r="F79" s="118"/>
      <c r="G79" s="118"/>
      <c r="H79" s="118"/>
      <c r="I79" s="118"/>
      <c r="J79" s="118"/>
      <c r="K79" s="115"/>
    </row>
    <row r="80" spans="1:11" s="7" customFormat="1" ht="15" customHeight="1">
      <c r="A80" s="93" t="s">
        <v>215</v>
      </c>
      <c r="B80" s="67" t="s">
        <v>66</v>
      </c>
      <c r="C80" s="112">
        <f>SUM(D80:J80)</f>
        <v>250</v>
      </c>
      <c r="D80" s="96"/>
      <c r="E80" s="96">
        <v>250</v>
      </c>
      <c r="F80" s="97"/>
      <c r="G80" s="97"/>
      <c r="H80" s="97"/>
      <c r="I80" s="97"/>
      <c r="J80" s="97"/>
      <c r="K80" s="114"/>
    </row>
    <row r="81" spans="1:11" s="7" customFormat="1" ht="15" customHeight="1">
      <c r="A81" s="93" t="s">
        <v>216</v>
      </c>
      <c r="B81" s="65" t="s">
        <v>26</v>
      </c>
      <c r="C81" s="112">
        <f>SUM(D81:J81)</f>
        <v>2000</v>
      </c>
      <c r="D81" s="96"/>
      <c r="E81" s="96"/>
      <c r="F81" s="97"/>
      <c r="G81" s="97"/>
      <c r="H81" s="97">
        <v>2000</v>
      </c>
      <c r="I81" s="97"/>
      <c r="J81" s="97"/>
      <c r="K81" s="114"/>
    </row>
    <row r="82" spans="1:11" s="7" customFormat="1" ht="15" customHeight="1">
      <c r="A82" s="93" t="s">
        <v>217</v>
      </c>
      <c r="B82" s="65" t="s">
        <v>67</v>
      </c>
      <c r="C82" s="112">
        <f>SUM(D82:J82)</f>
        <v>2000</v>
      </c>
      <c r="D82" s="96"/>
      <c r="E82" s="96"/>
      <c r="F82" s="97"/>
      <c r="G82" s="97"/>
      <c r="H82" s="97"/>
      <c r="I82" s="97"/>
      <c r="J82" s="97">
        <v>2000</v>
      </c>
      <c r="K82" s="114"/>
    </row>
    <row r="83" spans="1:11" s="7" customFormat="1" ht="15" customHeight="1">
      <c r="A83" s="93" t="s">
        <v>218</v>
      </c>
      <c r="B83" s="65" t="s">
        <v>147</v>
      </c>
      <c r="C83" s="112">
        <f>SUM(D83:J83)</f>
        <v>2000</v>
      </c>
      <c r="D83" s="96"/>
      <c r="E83" s="96"/>
      <c r="F83" s="97"/>
      <c r="G83" s="97"/>
      <c r="H83" s="97"/>
      <c r="I83" s="97">
        <v>2000</v>
      </c>
      <c r="J83" s="97"/>
      <c r="K83" s="114"/>
    </row>
    <row r="84" spans="1:11" s="7" customFormat="1" ht="15" customHeight="1">
      <c r="A84" s="93" t="s">
        <v>219</v>
      </c>
      <c r="B84" s="65" t="s">
        <v>73</v>
      </c>
      <c r="C84" s="112">
        <f>SUM(D84:J84)</f>
        <v>2000</v>
      </c>
      <c r="D84" s="96"/>
      <c r="E84" s="96"/>
      <c r="F84" s="97"/>
      <c r="G84" s="97"/>
      <c r="H84" s="97"/>
      <c r="I84" s="97"/>
      <c r="J84" s="97">
        <v>2000</v>
      </c>
      <c r="K84" s="114"/>
    </row>
    <row r="85" spans="1:11" s="5" customFormat="1" ht="15" customHeight="1">
      <c r="A85" s="111"/>
      <c r="B85" s="67"/>
      <c r="C85" s="112"/>
      <c r="D85" s="116"/>
      <c r="E85" s="116"/>
      <c r="F85" s="112"/>
      <c r="G85" s="112"/>
      <c r="H85" s="112"/>
      <c r="I85" s="112"/>
      <c r="J85" s="112"/>
      <c r="K85" s="114"/>
    </row>
    <row r="86" spans="1:11" s="15" customFormat="1" ht="96" customHeight="1">
      <c r="A86" s="111" t="s">
        <v>220</v>
      </c>
      <c r="B86" s="65" t="s">
        <v>105</v>
      </c>
      <c r="C86" s="112">
        <f>SUM(C90:C97)</f>
        <v>7935.478999999999</v>
      </c>
      <c r="D86" s="116">
        <f>SUM(D87:D88)</f>
        <v>144</v>
      </c>
      <c r="E86" s="116">
        <f aca="true" t="shared" si="34" ref="E86:J86">SUM(E87:E88)</f>
        <v>2691.479</v>
      </c>
      <c r="F86" s="112">
        <f t="shared" si="34"/>
        <v>100</v>
      </c>
      <c r="G86" s="112">
        <f>SUM(G87:G88)</f>
        <v>2170.83</v>
      </c>
      <c r="H86" s="112">
        <f t="shared" si="34"/>
        <v>1000</v>
      </c>
      <c r="I86" s="112">
        <f t="shared" si="34"/>
        <v>2000</v>
      </c>
      <c r="J86" s="112">
        <f t="shared" si="34"/>
        <v>2000</v>
      </c>
      <c r="K86" s="114" t="s">
        <v>176</v>
      </c>
    </row>
    <row r="87" spans="1:11" s="5" customFormat="1" ht="15" customHeight="1">
      <c r="A87" s="111" t="s">
        <v>221</v>
      </c>
      <c r="B87" s="65" t="s">
        <v>7</v>
      </c>
      <c r="C87" s="112">
        <f>SUM(D87:J87)</f>
        <v>10106.309</v>
      </c>
      <c r="D87" s="116">
        <f>SUM(D90+D91+D93+D94+D96+D97)</f>
        <v>144</v>
      </c>
      <c r="E87" s="116">
        <f>SUM(E90+E91+E93+E94+E96+E97)</f>
        <v>2691.479</v>
      </c>
      <c r="F87" s="112">
        <f>SUM(F90+F91+F93+F94+F96+F97)</f>
        <v>100</v>
      </c>
      <c r="G87" s="112">
        <f>SUM(G90+G91+G92+G93+G94+G96+G97)</f>
        <v>2170.83</v>
      </c>
      <c r="H87" s="112">
        <f>SUM(H90+H91+H92+H93+H94+H96+H97)</f>
        <v>1000</v>
      </c>
      <c r="I87" s="112">
        <f>SUM(I90+I91+I92+I93+I94+I96+I97)</f>
        <v>2000</v>
      </c>
      <c r="J87" s="112">
        <f>SUM(J90+J91+J92+J93+J94+J96+J97)</f>
        <v>2000</v>
      </c>
      <c r="K87" s="119"/>
    </row>
    <row r="88" spans="1:11" s="5" customFormat="1" ht="15" customHeight="1">
      <c r="A88" s="111" t="s">
        <v>222</v>
      </c>
      <c r="B88" s="65" t="s">
        <v>9</v>
      </c>
      <c r="C88" s="112">
        <f>SUM(D88:J88)</f>
        <v>0</v>
      </c>
      <c r="D88" s="116"/>
      <c r="E88" s="116"/>
      <c r="F88" s="112"/>
      <c r="G88" s="112"/>
      <c r="H88" s="112"/>
      <c r="I88" s="112"/>
      <c r="J88" s="112"/>
      <c r="K88" s="119"/>
    </row>
    <row r="89" spans="1:11" s="6" customFormat="1" ht="15.75">
      <c r="A89" s="121"/>
      <c r="B89" s="65" t="s">
        <v>20</v>
      </c>
      <c r="C89" s="120"/>
      <c r="D89" s="117"/>
      <c r="E89" s="117"/>
      <c r="F89" s="118"/>
      <c r="G89" s="118"/>
      <c r="H89" s="118"/>
      <c r="I89" s="118"/>
      <c r="J89" s="118"/>
      <c r="K89" s="115"/>
    </row>
    <row r="90" spans="1:11" s="5" customFormat="1" ht="15.75">
      <c r="A90" s="111" t="s">
        <v>223</v>
      </c>
      <c r="B90" s="65" t="s">
        <v>27</v>
      </c>
      <c r="C90" s="112">
        <f>SUM(D90:J90)</f>
        <v>2144</v>
      </c>
      <c r="D90" s="96">
        <v>144</v>
      </c>
      <c r="E90" s="96"/>
      <c r="F90" s="97"/>
      <c r="G90" s="97"/>
      <c r="H90" s="97"/>
      <c r="I90" s="97"/>
      <c r="J90" s="97">
        <v>2000</v>
      </c>
      <c r="K90" s="114"/>
    </row>
    <row r="91" spans="1:11" s="5" customFormat="1" ht="15.75">
      <c r="A91" s="111" t="s">
        <v>224</v>
      </c>
      <c r="B91" s="65" t="s">
        <v>196</v>
      </c>
      <c r="C91" s="112">
        <f>SUM(D91:J91)</f>
        <v>2000</v>
      </c>
      <c r="D91" s="96"/>
      <c r="E91" s="96"/>
      <c r="F91" s="97"/>
      <c r="G91" s="97"/>
      <c r="H91" s="97"/>
      <c r="I91" s="97">
        <v>2000</v>
      </c>
      <c r="J91" s="97"/>
      <c r="K91" s="114"/>
    </row>
    <row r="92" spans="1:11" s="5" customFormat="1" ht="15.75">
      <c r="A92" s="111" t="s">
        <v>225</v>
      </c>
      <c r="B92" s="65" t="s">
        <v>339</v>
      </c>
      <c r="C92" s="112"/>
      <c r="D92" s="96"/>
      <c r="E92" s="96"/>
      <c r="F92" s="97"/>
      <c r="G92" s="97">
        <f>2170.83</f>
        <v>2170.83</v>
      </c>
      <c r="H92" s="97"/>
      <c r="I92" s="97"/>
      <c r="J92" s="97"/>
      <c r="K92" s="114"/>
    </row>
    <row r="93" spans="1:11" s="5" customFormat="1" ht="15" customHeight="1">
      <c r="A93" s="111"/>
      <c r="B93" s="65" t="s">
        <v>74</v>
      </c>
      <c r="C93" s="112">
        <f>SUM(D93:J93)</f>
        <v>2441.479</v>
      </c>
      <c r="D93" s="96"/>
      <c r="E93" s="96">
        <f>266+875.8-159.65+858.954+600.375</f>
        <v>2441.479</v>
      </c>
      <c r="F93" s="97"/>
      <c r="G93" s="97"/>
      <c r="H93" s="97"/>
      <c r="I93" s="97"/>
      <c r="J93" s="97"/>
      <c r="K93" s="114"/>
    </row>
    <row r="94" spans="1:11" s="5" customFormat="1" ht="15" customHeight="1">
      <c r="A94" s="111"/>
      <c r="B94" s="68" t="s">
        <v>145</v>
      </c>
      <c r="C94" s="112">
        <f>SUM(D94:J94)</f>
        <v>1000</v>
      </c>
      <c r="D94" s="96"/>
      <c r="E94" s="96"/>
      <c r="F94" s="97"/>
      <c r="G94" s="97"/>
      <c r="H94" s="97">
        <v>1000</v>
      </c>
      <c r="I94" s="97"/>
      <c r="J94" s="97"/>
      <c r="K94" s="114"/>
    </row>
    <row r="95" spans="1:11" s="5" customFormat="1" ht="35.25" customHeight="1">
      <c r="A95" s="111"/>
      <c r="B95" s="65" t="s">
        <v>63</v>
      </c>
      <c r="C95" s="112"/>
      <c r="D95" s="96"/>
      <c r="E95" s="96"/>
      <c r="F95" s="97"/>
      <c r="G95" s="97"/>
      <c r="H95" s="97"/>
      <c r="I95" s="97"/>
      <c r="J95" s="97"/>
      <c r="K95" s="114"/>
    </row>
    <row r="96" spans="1:11" s="5" customFormat="1" ht="15" customHeight="1">
      <c r="A96" s="111"/>
      <c r="B96" s="66" t="s">
        <v>146</v>
      </c>
      <c r="C96" s="112">
        <f>SUM(D96:J96)</f>
        <v>250</v>
      </c>
      <c r="D96" s="96"/>
      <c r="E96" s="96">
        <f>250</f>
        <v>250</v>
      </c>
      <c r="F96" s="97"/>
      <c r="G96" s="97"/>
      <c r="H96" s="97"/>
      <c r="I96" s="97"/>
      <c r="J96" s="97"/>
      <c r="K96" s="114"/>
    </row>
    <row r="97" spans="1:11" s="5" customFormat="1" ht="15" customHeight="1">
      <c r="A97" s="111"/>
      <c r="B97" s="66" t="s">
        <v>147</v>
      </c>
      <c r="C97" s="112">
        <f>SUM(D97:J97)</f>
        <v>100</v>
      </c>
      <c r="D97" s="96"/>
      <c r="E97" s="96"/>
      <c r="F97" s="97">
        <f>100</f>
        <v>100</v>
      </c>
      <c r="G97" s="97"/>
      <c r="H97" s="97"/>
      <c r="I97" s="97"/>
      <c r="J97" s="97"/>
      <c r="K97" s="114"/>
    </row>
    <row r="98" spans="1:11" s="5" customFormat="1" ht="15" customHeight="1">
      <c r="A98" s="111"/>
      <c r="B98" s="66"/>
      <c r="C98" s="112"/>
      <c r="D98" s="96"/>
      <c r="E98" s="96"/>
      <c r="F98" s="97"/>
      <c r="G98" s="97"/>
      <c r="H98" s="97"/>
      <c r="I98" s="97"/>
      <c r="J98" s="97"/>
      <c r="K98" s="114"/>
    </row>
    <row r="99" spans="1:11" s="16" customFormat="1" ht="81.75" customHeight="1">
      <c r="A99" s="111"/>
      <c r="B99" s="69" t="s">
        <v>106</v>
      </c>
      <c r="C99" s="97">
        <f>SUM(C100)</f>
        <v>971276.8</v>
      </c>
      <c r="D99" s="96">
        <f>SUM(D100)</f>
        <v>98262</v>
      </c>
      <c r="E99" s="96">
        <f aca="true" t="shared" si="35" ref="E99:J99">SUM(E100)</f>
        <v>105283</v>
      </c>
      <c r="F99" s="97">
        <f t="shared" si="35"/>
        <v>149688.8</v>
      </c>
      <c r="G99" s="97">
        <f t="shared" si="35"/>
        <v>146836</v>
      </c>
      <c r="H99" s="97">
        <f t="shared" si="35"/>
        <v>157069</v>
      </c>
      <c r="I99" s="97">
        <f t="shared" si="35"/>
        <v>157069</v>
      </c>
      <c r="J99" s="97">
        <f t="shared" si="35"/>
        <v>157069</v>
      </c>
      <c r="K99" s="114" t="s">
        <v>177</v>
      </c>
    </row>
    <row r="100" spans="1:11" s="7" customFormat="1" ht="15" customHeight="1">
      <c r="A100" s="111"/>
      <c r="B100" s="65" t="s">
        <v>9</v>
      </c>
      <c r="C100" s="112">
        <f>SUM(D100:J100)</f>
        <v>971276.8</v>
      </c>
      <c r="D100" s="96">
        <f>87177+6741+4344</f>
        <v>98262</v>
      </c>
      <c r="E100" s="96">
        <f>109598-4315</f>
        <v>105283</v>
      </c>
      <c r="F100" s="97">
        <f>150914-1225.2</f>
        <v>149688.8</v>
      </c>
      <c r="G100" s="97">
        <f>150096-3260</f>
        <v>146836</v>
      </c>
      <c r="H100" s="97">
        <v>157069</v>
      </c>
      <c r="I100" s="97">
        <v>157069</v>
      </c>
      <c r="J100" s="97">
        <v>157069</v>
      </c>
      <c r="K100" s="114"/>
    </row>
    <row r="101" spans="1:11" s="5" customFormat="1" ht="15" customHeight="1">
      <c r="A101" s="111"/>
      <c r="B101" s="70"/>
      <c r="C101" s="112"/>
      <c r="D101" s="96"/>
      <c r="E101" s="96"/>
      <c r="F101" s="97"/>
      <c r="G101" s="97"/>
      <c r="H101" s="97"/>
      <c r="I101" s="97"/>
      <c r="J101" s="97"/>
      <c r="K101" s="114"/>
    </row>
    <row r="102" spans="1:11" s="16" customFormat="1" ht="82.5" customHeight="1">
      <c r="A102" s="93"/>
      <c r="B102" s="71" t="s">
        <v>107</v>
      </c>
      <c r="C102" s="97">
        <f>SUM(C103:C105)</f>
        <v>912520.7320000001</v>
      </c>
      <c r="D102" s="96">
        <f aca="true" t="shared" si="36" ref="D102:J102">SUM(D103:D105)</f>
        <v>137034.519</v>
      </c>
      <c r="E102" s="96">
        <f t="shared" si="36"/>
        <v>153941.77599999998</v>
      </c>
      <c r="F102" s="97">
        <f t="shared" si="36"/>
        <v>119106.73700000001</v>
      </c>
      <c r="G102" s="97">
        <f t="shared" si="36"/>
        <v>124947.7</v>
      </c>
      <c r="H102" s="97">
        <f t="shared" si="36"/>
        <v>125830</v>
      </c>
      <c r="I102" s="97">
        <f t="shared" si="36"/>
        <v>125830</v>
      </c>
      <c r="J102" s="97">
        <f t="shared" si="36"/>
        <v>125830</v>
      </c>
      <c r="K102" s="114" t="s">
        <v>178</v>
      </c>
    </row>
    <row r="103" spans="1:11" s="7" customFormat="1" ht="15" customHeight="1">
      <c r="A103" s="93"/>
      <c r="B103" s="65" t="s">
        <v>7</v>
      </c>
      <c r="C103" s="112">
        <f>SUM(D103:J103)</f>
        <v>638204.7320000001</v>
      </c>
      <c r="D103" s="96">
        <v>104718.519</v>
      </c>
      <c r="E103" s="96">
        <f>118131-150+159.65-1200-455.891-587.485+44.502</f>
        <v>115941.77599999998</v>
      </c>
      <c r="F103" s="97">
        <f>69537.1+4500+4741.615+250-100-200+178.022+200</f>
        <v>79106.73700000001</v>
      </c>
      <c r="G103" s="97">
        <v>83947.7</v>
      </c>
      <c r="H103" s="97">
        <v>84830</v>
      </c>
      <c r="I103" s="97">
        <v>84830</v>
      </c>
      <c r="J103" s="97">
        <v>84830</v>
      </c>
      <c r="K103" s="114"/>
    </row>
    <row r="104" spans="1:11" s="7" customFormat="1" ht="15" customHeight="1">
      <c r="A104" s="93"/>
      <c r="B104" s="66" t="s">
        <v>9</v>
      </c>
      <c r="C104" s="112">
        <f>SUM(D104:J104)</f>
        <v>1316</v>
      </c>
      <c r="D104" s="96">
        <v>1316</v>
      </c>
      <c r="E104" s="96"/>
      <c r="F104" s="97"/>
      <c r="G104" s="97"/>
      <c r="H104" s="97"/>
      <c r="I104" s="97"/>
      <c r="J104" s="97"/>
      <c r="K104" s="114"/>
    </row>
    <row r="105" spans="1:11" s="7" customFormat="1" ht="15" customHeight="1">
      <c r="A105" s="93"/>
      <c r="B105" s="65" t="s">
        <v>10</v>
      </c>
      <c r="C105" s="112">
        <f>SUM(D105:J105)</f>
        <v>273000</v>
      </c>
      <c r="D105" s="96">
        <v>31000</v>
      </c>
      <c r="E105" s="96">
        <v>38000</v>
      </c>
      <c r="F105" s="97">
        <v>40000</v>
      </c>
      <c r="G105" s="97">
        <v>41000</v>
      </c>
      <c r="H105" s="97">
        <v>41000</v>
      </c>
      <c r="I105" s="97">
        <v>41000</v>
      </c>
      <c r="J105" s="97">
        <v>41000</v>
      </c>
      <c r="K105" s="114"/>
    </row>
    <row r="106" spans="1:11" s="5" customFormat="1" ht="15" customHeight="1">
      <c r="A106" s="111"/>
      <c r="B106" s="70"/>
      <c r="C106" s="112"/>
      <c r="D106" s="96"/>
      <c r="E106" s="96"/>
      <c r="F106" s="97"/>
      <c r="G106" s="97"/>
      <c r="H106" s="97"/>
      <c r="I106" s="97"/>
      <c r="J106" s="97"/>
      <c r="K106" s="114"/>
    </row>
    <row r="107" spans="1:11" s="16" customFormat="1" ht="63">
      <c r="A107" s="93"/>
      <c r="B107" s="71" t="s">
        <v>108</v>
      </c>
      <c r="C107" s="97">
        <f aca="true" t="shared" si="37" ref="C107:J107">SUM(C108:C108)</f>
        <v>3103.2219999999998</v>
      </c>
      <c r="D107" s="96">
        <f t="shared" si="37"/>
        <v>2207</v>
      </c>
      <c r="E107" s="96">
        <f t="shared" si="37"/>
        <v>896.222</v>
      </c>
      <c r="F107" s="97">
        <f t="shared" si="37"/>
        <v>0</v>
      </c>
      <c r="G107" s="97">
        <f t="shared" si="37"/>
        <v>0</v>
      </c>
      <c r="H107" s="97">
        <f t="shared" si="37"/>
        <v>0</v>
      </c>
      <c r="I107" s="97">
        <f t="shared" si="37"/>
        <v>0</v>
      </c>
      <c r="J107" s="97">
        <f t="shared" si="37"/>
        <v>0</v>
      </c>
      <c r="K107" s="114" t="s">
        <v>155</v>
      </c>
    </row>
    <row r="108" spans="1:11" s="7" customFormat="1" ht="15.75">
      <c r="A108" s="111"/>
      <c r="B108" s="65" t="s">
        <v>7</v>
      </c>
      <c r="C108" s="112">
        <f>SUM(D108:J108)</f>
        <v>3103.2219999999998</v>
      </c>
      <c r="D108" s="96">
        <f>1000+1207</f>
        <v>2207</v>
      </c>
      <c r="E108" s="96">
        <f>505+391.3-0.078</f>
        <v>896.222</v>
      </c>
      <c r="F108" s="97"/>
      <c r="G108" s="97"/>
      <c r="H108" s="97"/>
      <c r="I108" s="97"/>
      <c r="J108" s="97"/>
      <c r="K108" s="114"/>
    </row>
    <row r="109" spans="1:11" s="7" customFormat="1" ht="15.75">
      <c r="A109" s="93"/>
      <c r="B109" s="65"/>
      <c r="C109" s="97"/>
      <c r="D109" s="96"/>
      <c r="E109" s="96"/>
      <c r="F109" s="97"/>
      <c r="G109" s="97"/>
      <c r="H109" s="97"/>
      <c r="I109" s="97"/>
      <c r="J109" s="97"/>
      <c r="K109" s="114"/>
    </row>
    <row r="110" spans="1:11" s="16" customFormat="1" ht="47.25">
      <c r="A110" s="93"/>
      <c r="B110" s="71" t="s">
        <v>109</v>
      </c>
      <c r="C110" s="97">
        <f>SUM(D110:J110)</f>
        <v>50221.235</v>
      </c>
      <c r="D110" s="96">
        <f>SUM(D111:D112)</f>
        <v>0</v>
      </c>
      <c r="E110" s="96">
        <f aca="true" t="shared" si="38" ref="E110:J110">SUM(E111:E112)</f>
        <v>50221.235</v>
      </c>
      <c r="F110" s="97">
        <f t="shared" si="38"/>
        <v>0</v>
      </c>
      <c r="G110" s="97">
        <f t="shared" si="38"/>
        <v>0</v>
      </c>
      <c r="H110" s="97">
        <f t="shared" si="38"/>
        <v>0</v>
      </c>
      <c r="I110" s="97">
        <f t="shared" si="38"/>
        <v>0</v>
      </c>
      <c r="J110" s="97">
        <f t="shared" si="38"/>
        <v>0</v>
      </c>
      <c r="K110" s="114" t="s">
        <v>155</v>
      </c>
    </row>
    <row r="111" spans="1:11" s="16" customFormat="1" ht="15.75">
      <c r="A111" s="93"/>
      <c r="B111" s="65" t="s">
        <v>7</v>
      </c>
      <c r="C111" s="112">
        <f>SUM(D111:J111)</f>
        <v>24321.235</v>
      </c>
      <c r="D111" s="96">
        <f>SUM(D115+D119)</f>
        <v>0</v>
      </c>
      <c r="E111" s="96">
        <f aca="true" t="shared" si="39" ref="E111:J111">SUM(E115+E119+E122+E125)</f>
        <v>24321.235</v>
      </c>
      <c r="F111" s="97">
        <f t="shared" si="39"/>
        <v>0</v>
      </c>
      <c r="G111" s="97">
        <f t="shared" si="39"/>
        <v>0</v>
      </c>
      <c r="H111" s="97">
        <f t="shared" si="39"/>
        <v>0</v>
      </c>
      <c r="I111" s="97">
        <f t="shared" si="39"/>
        <v>0</v>
      </c>
      <c r="J111" s="97">
        <f t="shared" si="39"/>
        <v>0</v>
      </c>
      <c r="K111" s="114"/>
    </row>
    <row r="112" spans="1:11" s="16" customFormat="1" ht="15.75">
      <c r="A112" s="93"/>
      <c r="B112" s="66" t="s">
        <v>9</v>
      </c>
      <c r="C112" s="112">
        <f>SUM(D112:J112)</f>
        <v>25900</v>
      </c>
      <c r="D112" s="96">
        <f>SUM(D116)</f>
        <v>0</v>
      </c>
      <c r="E112" s="96">
        <f aca="true" t="shared" si="40" ref="E112:J112">SUM(E116+E126)</f>
        <v>25900</v>
      </c>
      <c r="F112" s="97">
        <f t="shared" si="40"/>
        <v>0</v>
      </c>
      <c r="G112" s="97">
        <f t="shared" si="40"/>
        <v>0</v>
      </c>
      <c r="H112" s="97">
        <f t="shared" si="40"/>
        <v>0</v>
      </c>
      <c r="I112" s="97">
        <f t="shared" si="40"/>
        <v>0</v>
      </c>
      <c r="J112" s="97">
        <f t="shared" si="40"/>
        <v>0</v>
      </c>
      <c r="K112" s="114"/>
    </row>
    <row r="113" spans="1:11" s="16" customFormat="1" ht="15.75">
      <c r="A113" s="111"/>
      <c r="B113" s="65" t="s">
        <v>82</v>
      </c>
      <c r="C113" s="112"/>
      <c r="D113" s="96"/>
      <c r="E113" s="96"/>
      <c r="F113" s="97"/>
      <c r="G113" s="97"/>
      <c r="H113" s="97"/>
      <c r="I113" s="97"/>
      <c r="J113" s="97"/>
      <c r="K113" s="114"/>
    </row>
    <row r="114" spans="1:11" s="16" customFormat="1" ht="31.5">
      <c r="A114" s="111"/>
      <c r="B114" s="65" t="s">
        <v>83</v>
      </c>
      <c r="C114" s="112">
        <f aca="true" t="shared" si="41" ref="C114:C126">SUM(D114:J114)</f>
        <v>40341.235</v>
      </c>
      <c r="D114" s="96">
        <f aca="true" t="shared" si="42" ref="D114:J114">SUM(D115:D116)</f>
        <v>0</v>
      </c>
      <c r="E114" s="96">
        <f t="shared" si="42"/>
        <v>40341.235</v>
      </c>
      <c r="F114" s="97">
        <f t="shared" si="42"/>
        <v>0</v>
      </c>
      <c r="G114" s="97">
        <f t="shared" si="42"/>
        <v>0</v>
      </c>
      <c r="H114" s="97">
        <f t="shared" si="42"/>
        <v>0</v>
      </c>
      <c r="I114" s="97">
        <f t="shared" si="42"/>
        <v>0</v>
      </c>
      <c r="J114" s="97">
        <f t="shared" si="42"/>
        <v>0</v>
      </c>
      <c r="K114" s="114"/>
    </row>
    <row r="115" spans="1:11" s="16" customFormat="1" ht="15.75">
      <c r="A115" s="111"/>
      <c r="B115" s="65" t="s">
        <v>7</v>
      </c>
      <c r="C115" s="112">
        <f t="shared" si="41"/>
        <v>17241.235</v>
      </c>
      <c r="D115" s="96"/>
      <c r="E115" s="96">
        <f>9900+4820+1900+621.235</f>
        <v>17241.235</v>
      </c>
      <c r="F115" s="97">
        <f>2700-2700</f>
        <v>0</v>
      </c>
      <c r="G115" s="97"/>
      <c r="H115" s="97"/>
      <c r="I115" s="97"/>
      <c r="J115" s="97"/>
      <c r="K115" s="114"/>
    </row>
    <row r="116" spans="1:11" s="16" customFormat="1" ht="15.75">
      <c r="A116" s="111"/>
      <c r="B116" s="66" t="s">
        <v>9</v>
      </c>
      <c r="C116" s="112">
        <f t="shared" si="41"/>
        <v>23100</v>
      </c>
      <c r="D116" s="96"/>
      <c r="E116" s="96">
        <v>23100</v>
      </c>
      <c r="F116" s="97"/>
      <c r="G116" s="97"/>
      <c r="H116" s="97"/>
      <c r="I116" s="97"/>
      <c r="J116" s="97"/>
      <c r="K116" s="114"/>
    </row>
    <row r="117" spans="1:11" s="16" customFormat="1" ht="15.75">
      <c r="A117" s="111"/>
      <c r="B117" s="66"/>
      <c r="C117" s="112"/>
      <c r="D117" s="96"/>
      <c r="E117" s="96"/>
      <c r="F117" s="97"/>
      <c r="G117" s="97"/>
      <c r="H117" s="97"/>
      <c r="I117" s="97"/>
      <c r="J117" s="97"/>
      <c r="K117" s="114"/>
    </row>
    <row r="118" spans="1:11" s="16" customFormat="1" ht="31.5">
      <c r="A118" s="111"/>
      <c r="B118" s="69" t="s">
        <v>81</v>
      </c>
      <c r="C118" s="112">
        <f t="shared" si="41"/>
        <v>780</v>
      </c>
      <c r="D118" s="96">
        <f>SUM(D119)</f>
        <v>0</v>
      </c>
      <c r="E118" s="96">
        <f aca="true" t="shared" si="43" ref="E118:J121">SUM(E119)</f>
        <v>780</v>
      </c>
      <c r="F118" s="97">
        <f t="shared" si="43"/>
        <v>0</v>
      </c>
      <c r="G118" s="97">
        <f t="shared" si="43"/>
        <v>0</v>
      </c>
      <c r="H118" s="97">
        <f t="shared" si="43"/>
        <v>0</v>
      </c>
      <c r="I118" s="97">
        <f t="shared" si="43"/>
        <v>0</v>
      </c>
      <c r="J118" s="97">
        <f t="shared" si="43"/>
        <v>0</v>
      </c>
      <c r="K118" s="114"/>
    </row>
    <row r="119" spans="1:11" s="7" customFormat="1" ht="15.75">
      <c r="A119" s="111"/>
      <c r="B119" s="65" t="s">
        <v>7</v>
      </c>
      <c r="C119" s="112">
        <f t="shared" si="41"/>
        <v>780</v>
      </c>
      <c r="D119" s="96"/>
      <c r="E119" s="96">
        <f>600+180</f>
        <v>780</v>
      </c>
      <c r="F119" s="97"/>
      <c r="G119" s="97"/>
      <c r="H119" s="97"/>
      <c r="I119" s="97"/>
      <c r="J119" s="97"/>
      <c r="K119" s="114"/>
    </row>
    <row r="120" spans="1:11" s="7" customFormat="1" ht="15.75">
      <c r="A120" s="111"/>
      <c r="B120" s="65"/>
      <c r="C120" s="112"/>
      <c r="D120" s="96"/>
      <c r="E120" s="96"/>
      <c r="F120" s="97"/>
      <c r="G120" s="97"/>
      <c r="H120" s="97"/>
      <c r="I120" s="97"/>
      <c r="J120" s="97"/>
      <c r="K120" s="114"/>
    </row>
    <row r="121" spans="1:11" s="16" customFormat="1" ht="31.5">
      <c r="A121" s="111"/>
      <c r="B121" s="69" t="s">
        <v>91</v>
      </c>
      <c r="C121" s="112">
        <f>SUM(D121:J121)</f>
        <v>5100</v>
      </c>
      <c r="D121" s="96">
        <f>SUM(D122)</f>
        <v>0</v>
      </c>
      <c r="E121" s="96">
        <f t="shared" si="43"/>
        <v>5100</v>
      </c>
      <c r="F121" s="97">
        <f t="shared" si="43"/>
        <v>0</v>
      </c>
      <c r="G121" s="97">
        <f t="shared" si="43"/>
        <v>0</v>
      </c>
      <c r="H121" s="97">
        <f t="shared" si="43"/>
        <v>0</v>
      </c>
      <c r="I121" s="97">
        <f t="shared" si="43"/>
        <v>0</v>
      </c>
      <c r="J121" s="97">
        <f t="shared" si="43"/>
        <v>0</v>
      </c>
      <c r="K121" s="114"/>
    </row>
    <row r="122" spans="1:11" s="7" customFormat="1" ht="15.75">
      <c r="A122" s="111"/>
      <c r="B122" s="65" t="s">
        <v>7</v>
      </c>
      <c r="C122" s="112">
        <f>SUM(D122:J122)</f>
        <v>5100</v>
      </c>
      <c r="D122" s="96"/>
      <c r="E122" s="96">
        <f>7000-1900</f>
        <v>5100</v>
      </c>
      <c r="F122" s="97"/>
      <c r="G122" s="97"/>
      <c r="H122" s="97"/>
      <c r="I122" s="97"/>
      <c r="J122" s="97"/>
      <c r="K122" s="114"/>
    </row>
    <row r="123" spans="1:11" s="7" customFormat="1" ht="15.75">
      <c r="A123" s="111"/>
      <c r="B123" s="65"/>
      <c r="C123" s="112"/>
      <c r="D123" s="96"/>
      <c r="E123" s="96"/>
      <c r="F123" s="97"/>
      <c r="G123" s="97"/>
      <c r="H123" s="97"/>
      <c r="I123" s="97"/>
      <c r="J123" s="97"/>
      <c r="K123" s="114"/>
    </row>
    <row r="124" spans="1:11" s="7" customFormat="1" ht="31.5">
      <c r="A124" s="111"/>
      <c r="B124" s="65" t="s">
        <v>333</v>
      </c>
      <c r="C124" s="112">
        <f t="shared" si="41"/>
        <v>4000</v>
      </c>
      <c r="D124" s="96">
        <f aca="true" t="shared" si="44" ref="D124:J124">SUM(D125:D126)</f>
        <v>0</v>
      </c>
      <c r="E124" s="96">
        <f t="shared" si="44"/>
        <v>4000</v>
      </c>
      <c r="F124" s="97">
        <f t="shared" si="44"/>
        <v>0</v>
      </c>
      <c r="G124" s="97">
        <f t="shared" si="44"/>
        <v>0</v>
      </c>
      <c r="H124" s="97">
        <f t="shared" si="44"/>
        <v>0</v>
      </c>
      <c r="I124" s="97">
        <f t="shared" si="44"/>
        <v>0</v>
      </c>
      <c r="J124" s="97">
        <f t="shared" si="44"/>
        <v>0</v>
      </c>
      <c r="K124" s="114"/>
    </row>
    <row r="125" spans="1:11" s="7" customFormat="1" ht="15.75">
      <c r="A125" s="111"/>
      <c r="B125" s="65" t="s">
        <v>7</v>
      </c>
      <c r="C125" s="112">
        <f t="shared" si="41"/>
        <v>1200</v>
      </c>
      <c r="D125" s="96"/>
      <c r="E125" s="96">
        <f>1200</f>
        <v>1200</v>
      </c>
      <c r="F125" s="97"/>
      <c r="G125" s="97"/>
      <c r="H125" s="97"/>
      <c r="I125" s="97"/>
      <c r="J125" s="97"/>
      <c r="K125" s="114"/>
    </row>
    <row r="126" spans="1:11" s="7" customFormat="1" ht="15.75">
      <c r="A126" s="111"/>
      <c r="B126" s="66" t="s">
        <v>9</v>
      </c>
      <c r="C126" s="112">
        <f t="shared" si="41"/>
        <v>2800</v>
      </c>
      <c r="D126" s="96"/>
      <c r="E126" s="96">
        <f>2800</f>
        <v>2800</v>
      </c>
      <c r="F126" s="97"/>
      <c r="G126" s="97"/>
      <c r="H126" s="97"/>
      <c r="I126" s="97"/>
      <c r="J126" s="97"/>
      <c r="K126" s="114"/>
    </row>
    <row r="127" spans="1:11" s="7" customFormat="1" ht="15.75">
      <c r="A127" s="93"/>
      <c r="B127" s="65"/>
      <c r="C127" s="97"/>
      <c r="D127" s="96"/>
      <c r="E127" s="96"/>
      <c r="F127" s="97"/>
      <c r="G127" s="97"/>
      <c r="H127" s="97"/>
      <c r="I127" s="97"/>
      <c r="J127" s="97"/>
      <c r="K127" s="114"/>
    </row>
    <row r="128" spans="1:11" s="4" customFormat="1" ht="15" customHeight="1">
      <c r="A128" s="107"/>
      <c r="B128" s="108" t="s">
        <v>58</v>
      </c>
      <c r="C128" s="109"/>
      <c r="D128" s="109"/>
      <c r="E128" s="109"/>
      <c r="F128" s="109"/>
      <c r="G128" s="109"/>
      <c r="H128" s="109"/>
      <c r="I128" s="109"/>
      <c r="J128" s="109"/>
      <c r="K128" s="110"/>
    </row>
    <row r="129" spans="1:13" s="15" customFormat="1" ht="23.25" customHeight="1">
      <c r="A129" s="111"/>
      <c r="B129" s="65" t="s">
        <v>35</v>
      </c>
      <c r="C129" s="112">
        <f>SUM(C130:C133)</f>
        <v>2258580.9685</v>
      </c>
      <c r="D129" s="116">
        <f aca="true" t="shared" si="45" ref="D129:J129">SUM(D130:D133)</f>
        <v>364991.669</v>
      </c>
      <c r="E129" s="116">
        <f>SUM(E130:E133)</f>
        <v>311126.389</v>
      </c>
      <c r="F129" s="112">
        <f>SUM(F130:F133)</f>
        <v>336877.03650000005</v>
      </c>
      <c r="G129" s="112">
        <f t="shared" si="45"/>
        <v>326070.374</v>
      </c>
      <c r="H129" s="112">
        <f t="shared" si="45"/>
        <v>306232.4</v>
      </c>
      <c r="I129" s="112">
        <f t="shared" si="45"/>
        <v>306312.4</v>
      </c>
      <c r="J129" s="112">
        <f t="shared" si="45"/>
        <v>306970.7</v>
      </c>
      <c r="K129" s="113"/>
      <c r="L129" s="61">
        <f>SUM(L130:L133)</f>
        <v>326086.33400000003</v>
      </c>
      <c r="M129" s="52">
        <f>SUM(M130:M133)</f>
        <v>-15.960000000014588</v>
      </c>
    </row>
    <row r="130" spans="1:13" s="5" customFormat="1" ht="15" customHeight="1">
      <c r="A130" s="111"/>
      <c r="B130" s="65" t="s">
        <v>7</v>
      </c>
      <c r="C130" s="112">
        <f>SUM(D130:J130)</f>
        <v>801413.5525000001</v>
      </c>
      <c r="D130" s="96">
        <f aca="true" t="shared" si="46" ref="D130:J130">SUM(D136+D168)</f>
        <v>163755.794</v>
      </c>
      <c r="E130" s="96">
        <f t="shared" si="46"/>
        <v>130901.93800000001</v>
      </c>
      <c r="F130" s="97">
        <f>SUM(F136+F168)</f>
        <v>102652.23650000003</v>
      </c>
      <c r="G130" s="97">
        <f>SUM(G136+G168)</f>
        <v>106707.084</v>
      </c>
      <c r="H130" s="97">
        <f t="shared" si="46"/>
        <v>98859.40000000001</v>
      </c>
      <c r="I130" s="97">
        <f t="shared" si="46"/>
        <v>98939.4</v>
      </c>
      <c r="J130" s="97">
        <f t="shared" si="46"/>
        <v>99597.7</v>
      </c>
      <c r="K130" s="114"/>
      <c r="L130" s="60">
        <v>106653.384</v>
      </c>
      <c r="M130" s="57">
        <f>G130-L130</f>
        <v>53.69999999999709</v>
      </c>
    </row>
    <row r="131" spans="1:13" s="5" customFormat="1" ht="15" customHeight="1">
      <c r="A131" s="111"/>
      <c r="B131" s="65" t="s">
        <v>8</v>
      </c>
      <c r="C131" s="112">
        <f>SUM(D131:J131)</f>
        <v>8764.596</v>
      </c>
      <c r="D131" s="96">
        <f>SUM(D169)</f>
        <v>1155.675</v>
      </c>
      <c r="E131" s="96">
        <f aca="true" t="shared" si="47" ref="E131:J131">SUM(E169)</f>
        <v>2441.431</v>
      </c>
      <c r="F131" s="97">
        <f t="shared" si="47"/>
        <v>3911.7</v>
      </c>
      <c r="G131" s="97">
        <f t="shared" si="47"/>
        <v>1255.79</v>
      </c>
      <c r="H131" s="97">
        <f t="shared" si="47"/>
        <v>0</v>
      </c>
      <c r="I131" s="97">
        <f t="shared" si="47"/>
        <v>0</v>
      </c>
      <c r="J131" s="97">
        <f t="shared" si="47"/>
        <v>0</v>
      </c>
      <c r="K131" s="114"/>
      <c r="L131" s="60"/>
      <c r="M131" s="57">
        <f>G131-L131</f>
        <v>1255.79</v>
      </c>
    </row>
    <row r="132" spans="1:13" s="5" customFormat="1" ht="15" customHeight="1">
      <c r="A132" s="111"/>
      <c r="B132" s="65" t="s">
        <v>9</v>
      </c>
      <c r="C132" s="112">
        <f>SUM(D132:J132)</f>
        <v>1429705.42</v>
      </c>
      <c r="D132" s="96">
        <f aca="true" t="shared" si="48" ref="D132:J132">SUM(D138+D170)</f>
        <v>195882.8</v>
      </c>
      <c r="E132" s="96">
        <f t="shared" si="48"/>
        <v>177783.02000000002</v>
      </c>
      <c r="F132" s="97">
        <f t="shared" si="48"/>
        <v>228613.1</v>
      </c>
      <c r="G132" s="97">
        <f t="shared" si="48"/>
        <v>214907.5</v>
      </c>
      <c r="H132" s="97">
        <f t="shared" si="48"/>
        <v>204173</v>
      </c>
      <c r="I132" s="97">
        <f t="shared" si="48"/>
        <v>204173</v>
      </c>
      <c r="J132" s="97">
        <f t="shared" si="48"/>
        <v>204173</v>
      </c>
      <c r="K132" s="114"/>
      <c r="L132" s="60">
        <v>216232.95</v>
      </c>
      <c r="M132" s="57">
        <f>G132-L132</f>
        <v>-1325.4500000000116</v>
      </c>
    </row>
    <row r="133" spans="1:13" s="5" customFormat="1" ht="15" customHeight="1">
      <c r="A133" s="111"/>
      <c r="B133" s="65" t="s">
        <v>10</v>
      </c>
      <c r="C133" s="112">
        <f>SUM(D133:J133)</f>
        <v>18697.4</v>
      </c>
      <c r="D133" s="96">
        <f>SUM(D171)</f>
        <v>4197.4</v>
      </c>
      <c r="E133" s="96">
        <f aca="true" t="shared" si="49" ref="E133:J133">SUM(E171)</f>
        <v>0</v>
      </c>
      <c r="F133" s="97">
        <f t="shared" si="49"/>
        <v>1700</v>
      </c>
      <c r="G133" s="97">
        <f t="shared" si="49"/>
        <v>3200</v>
      </c>
      <c r="H133" s="97">
        <f t="shared" si="49"/>
        <v>3200</v>
      </c>
      <c r="I133" s="97">
        <f t="shared" si="49"/>
        <v>3200</v>
      </c>
      <c r="J133" s="97">
        <f t="shared" si="49"/>
        <v>3200</v>
      </c>
      <c r="K133" s="114"/>
      <c r="L133" s="60">
        <v>3200</v>
      </c>
      <c r="M133" s="57">
        <f>G133-L133</f>
        <v>0</v>
      </c>
    </row>
    <row r="134" spans="1:11" s="5" customFormat="1" ht="15" customHeight="1">
      <c r="A134" s="107"/>
      <c r="B134" s="108" t="s">
        <v>11</v>
      </c>
      <c r="C134" s="109"/>
      <c r="D134" s="109"/>
      <c r="E134" s="109"/>
      <c r="F134" s="109"/>
      <c r="G134" s="109"/>
      <c r="H134" s="109"/>
      <c r="I134" s="109"/>
      <c r="J134" s="109"/>
      <c r="K134" s="110"/>
    </row>
    <row r="135" spans="1:11" s="15" customFormat="1" ht="33.75" customHeight="1">
      <c r="A135" s="111"/>
      <c r="B135" s="65" t="s">
        <v>13</v>
      </c>
      <c r="C135" s="112">
        <f>SUM(C136:C138)</f>
        <v>0</v>
      </c>
      <c r="D135" s="116">
        <f>SUM(D136:D138)</f>
        <v>0</v>
      </c>
      <c r="E135" s="116">
        <f aca="true" t="shared" si="50" ref="E135:J135">SUM(E136:E138)</f>
        <v>0</v>
      </c>
      <c r="F135" s="112">
        <f t="shared" si="50"/>
        <v>0</v>
      </c>
      <c r="G135" s="112">
        <f t="shared" si="50"/>
        <v>0</v>
      </c>
      <c r="H135" s="112">
        <f t="shared" si="50"/>
        <v>0</v>
      </c>
      <c r="I135" s="112">
        <f t="shared" si="50"/>
        <v>0</v>
      </c>
      <c r="J135" s="112">
        <f t="shared" si="50"/>
        <v>0</v>
      </c>
      <c r="K135" s="115"/>
    </row>
    <row r="136" spans="1:11" s="5" customFormat="1" ht="15" customHeight="1">
      <c r="A136" s="111"/>
      <c r="B136" s="65" t="s">
        <v>7</v>
      </c>
      <c r="C136" s="112">
        <f>SUM(D136:J136)</f>
        <v>0</v>
      </c>
      <c r="D136" s="96">
        <f>SUM(D142+D153)</f>
        <v>0</v>
      </c>
      <c r="E136" s="96">
        <f aca="true" t="shared" si="51" ref="E136:J136">SUM(E142+E153)</f>
        <v>0</v>
      </c>
      <c r="F136" s="97">
        <f t="shared" si="51"/>
        <v>0</v>
      </c>
      <c r="G136" s="97">
        <f t="shared" si="51"/>
        <v>0</v>
      </c>
      <c r="H136" s="97">
        <f t="shared" si="51"/>
        <v>0</v>
      </c>
      <c r="I136" s="97">
        <f t="shared" si="51"/>
        <v>0</v>
      </c>
      <c r="J136" s="97">
        <f t="shared" si="51"/>
        <v>0</v>
      </c>
      <c r="K136" s="114"/>
    </row>
    <row r="137" spans="1:11" s="5" customFormat="1" ht="15" customHeight="1">
      <c r="A137" s="111"/>
      <c r="B137" s="65" t="s">
        <v>8</v>
      </c>
      <c r="C137" s="112">
        <f>SUM(D137:J137)</f>
        <v>0</v>
      </c>
      <c r="D137" s="96"/>
      <c r="E137" s="96"/>
      <c r="F137" s="97"/>
      <c r="G137" s="97"/>
      <c r="H137" s="97"/>
      <c r="I137" s="97"/>
      <c r="J137" s="97"/>
      <c r="K137" s="114"/>
    </row>
    <row r="138" spans="1:11" s="5" customFormat="1" ht="15" customHeight="1">
      <c r="A138" s="111"/>
      <c r="B138" s="65" t="s">
        <v>9</v>
      </c>
      <c r="C138" s="112">
        <f>SUM(D138:J138)</f>
        <v>0</v>
      </c>
      <c r="D138" s="96">
        <f aca="true" t="shared" si="52" ref="D138:J138">SUM(D144+D154)</f>
        <v>0</v>
      </c>
      <c r="E138" s="96">
        <f t="shared" si="52"/>
        <v>0</v>
      </c>
      <c r="F138" s="97">
        <f>SUM(F144+F154)</f>
        <v>0</v>
      </c>
      <c r="G138" s="97">
        <f t="shared" si="52"/>
        <v>0</v>
      </c>
      <c r="H138" s="97">
        <f t="shared" si="52"/>
        <v>0</v>
      </c>
      <c r="I138" s="97">
        <f t="shared" si="52"/>
        <v>0</v>
      </c>
      <c r="J138" s="97">
        <f t="shared" si="52"/>
        <v>0</v>
      </c>
      <c r="K138" s="114"/>
    </row>
    <row r="139" spans="1:11" s="5" customFormat="1" ht="15" customHeight="1">
      <c r="A139" s="111"/>
      <c r="B139" s="65"/>
      <c r="C139" s="112"/>
      <c r="D139" s="116"/>
      <c r="E139" s="116"/>
      <c r="F139" s="112"/>
      <c r="G139" s="112"/>
      <c r="H139" s="112"/>
      <c r="I139" s="112"/>
      <c r="J139" s="112"/>
      <c r="K139" s="114"/>
    </row>
    <row r="140" spans="1:11" s="5" customFormat="1" ht="15" customHeight="1">
      <c r="A140" s="107"/>
      <c r="B140" s="108" t="s">
        <v>12</v>
      </c>
      <c r="C140" s="109"/>
      <c r="D140" s="109"/>
      <c r="E140" s="109"/>
      <c r="F140" s="109"/>
      <c r="G140" s="109"/>
      <c r="H140" s="109"/>
      <c r="I140" s="109"/>
      <c r="J140" s="109"/>
      <c r="K140" s="110"/>
    </row>
    <row r="141" spans="1:11" s="16" customFormat="1" ht="45.75" customHeight="1">
      <c r="A141" s="111"/>
      <c r="B141" s="65" t="s">
        <v>99</v>
      </c>
      <c r="C141" s="112">
        <f>SUM(C142:C145)</f>
        <v>0</v>
      </c>
      <c r="D141" s="116">
        <f>SUM(D142:D144)</f>
        <v>0</v>
      </c>
      <c r="E141" s="116">
        <f aca="true" t="shared" si="53" ref="E141:J141">SUM(E142:E144)</f>
        <v>0</v>
      </c>
      <c r="F141" s="112">
        <f t="shared" si="53"/>
        <v>0</v>
      </c>
      <c r="G141" s="112">
        <f t="shared" si="53"/>
        <v>0</v>
      </c>
      <c r="H141" s="112">
        <f t="shared" si="53"/>
        <v>0</v>
      </c>
      <c r="I141" s="112">
        <f t="shared" si="53"/>
        <v>0</v>
      </c>
      <c r="J141" s="112">
        <f t="shared" si="53"/>
        <v>0</v>
      </c>
      <c r="K141" s="114"/>
    </row>
    <row r="142" spans="1:11" s="7" customFormat="1" ht="15" customHeight="1">
      <c r="A142" s="111"/>
      <c r="B142" s="65" t="s">
        <v>7</v>
      </c>
      <c r="C142" s="112">
        <f>SUM(D142:J142)</f>
        <v>0</v>
      </c>
      <c r="D142" s="116">
        <f>SUM(D147)</f>
        <v>0</v>
      </c>
      <c r="E142" s="116">
        <f aca="true" t="shared" si="54" ref="E142:J142">SUM(E147)</f>
        <v>0</v>
      </c>
      <c r="F142" s="112">
        <f t="shared" si="54"/>
        <v>0</v>
      </c>
      <c r="G142" s="112">
        <f t="shared" si="54"/>
        <v>0</v>
      </c>
      <c r="H142" s="112">
        <f t="shared" si="54"/>
        <v>0</v>
      </c>
      <c r="I142" s="112">
        <f t="shared" si="54"/>
        <v>0</v>
      </c>
      <c r="J142" s="112">
        <f t="shared" si="54"/>
        <v>0</v>
      </c>
      <c r="K142" s="114"/>
    </row>
    <row r="143" spans="1:11" s="7" customFormat="1" ht="15" customHeight="1">
      <c r="A143" s="111"/>
      <c r="B143" s="65" t="s">
        <v>8</v>
      </c>
      <c r="C143" s="112">
        <f>SUM(D143:J143)</f>
        <v>0</v>
      </c>
      <c r="D143" s="116">
        <f>SUM(D148)</f>
        <v>0</v>
      </c>
      <c r="E143" s="116">
        <f aca="true" t="shared" si="55" ref="E143:J143">SUM(E148)</f>
        <v>0</v>
      </c>
      <c r="F143" s="112">
        <f t="shared" si="55"/>
        <v>0</v>
      </c>
      <c r="G143" s="112">
        <f t="shared" si="55"/>
        <v>0</v>
      </c>
      <c r="H143" s="112">
        <f t="shared" si="55"/>
        <v>0</v>
      </c>
      <c r="I143" s="112">
        <f t="shared" si="55"/>
        <v>0</v>
      </c>
      <c r="J143" s="112">
        <f t="shared" si="55"/>
        <v>0</v>
      </c>
      <c r="K143" s="114"/>
    </row>
    <row r="144" spans="1:11" s="7" customFormat="1" ht="15" customHeight="1">
      <c r="A144" s="111"/>
      <c r="B144" s="65" t="s">
        <v>9</v>
      </c>
      <c r="C144" s="112">
        <f>SUM(D144:J144)</f>
        <v>0</v>
      </c>
      <c r="D144" s="116">
        <f aca="true" t="shared" si="56" ref="D144:J144">SUM(D149)</f>
        <v>0</v>
      </c>
      <c r="E144" s="116">
        <f t="shared" si="56"/>
        <v>0</v>
      </c>
      <c r="F144" s="112">
        <f t="shared" si="56"/>
        <v>0</v>
      </c>
      <c r="G144" s="112">
        <f t="shared" si="56"/>
        <v>0</v>
      </c>
      <c r="H144" s="112">
        <f t="shared" si="56"/>
        <v>0</v>
      </c>
      <c r="I144" s="112">
        <f t="shared" si="56"/>
        <v>0</v>
      </c>
      <c r="J144" s="112">
        <f t="shared" si="56"/>
        <v>0</v>
      </c>
      <c r="K144" s="114"/>
    </row>
    <row r="145" spans="1:11" s="7" customFormat="1" ht="15" customHeight="1">
      <c r="A145" s="111"/>
      <c r="B145" s="65"/>
      <c r="C145" s="112"/>
      <c r="D145" s="116"/>
      <c r="E145" s="116"/>
      <c r="F145" s="112"/>
      <c r="G145" s="112"/>
      <c r="H145" s="112"/>
      <c r="I145" s="112"/>
      <c r="J145" s="112"/>
      <c r="K145" s="114"/>
    </row>
    <row r="146" spans="1:11" s="7" customFormat="1" ht="50.25" customHeight="1">
      <c r="A146" s="111"/>
      <c r="B146" s="65" t="s">
        <v>129</v>
      </c>
      <c r="C146" s="112">
        <f>SUM(C147:C150)</f>
        <v>0</v>
      </c>
      <c r="D146" s="116">
        <f>SUM(D147:D149)</f>
        <v>0</v>
      </c>
      <c r="E146" s="116">
        <f aca="true" t="shared" si="57" ref="E146:J146">SUM(E147:E149)</f>
        <v>0</v>
      </c>
      <c r="F146" s="112">
        <f t="shared" si="57"/>
        <v>0</v>
      </c>
      <c r="G146" s="112">
        <f t="shared" si="57"/>
        <v>0</v>
      </c>
      <c r="H146" s="112">
        <f t="shared" si="57"/>
        <v>0</v>
      </c>
      <c r="I146" s="112">
        <f t="shared" si="57"/>
        <v>0</v>
      </c>
      <c r="J146" s="112">
        <f t="shared" si="57"/>
        <v>0</v>
      </c>
      <c r="K146" s="114" t="s">
        <v>157</v>
      </c>
    </row>
    <row r="147" spans="1:11" s="7" customFormat="1" ht="15" customHeight="1">
      <c r="A147" s="111"/>
      <c r="B147" s="65" t="s">
        <v>7</v>
      </c>
      <c r="C147" s="112">
        <f>SUM(D147:J147)</f>
        <v>0</v>
      </c>
      <c r="D147" s="96"/>
      <c r="E147" s="96"/>
      <c r="F147" s="97"/>
      <c r="G147" s="97"/>
      <c r="H147" s="97"/>
      <c r="I147" s="97"/>
      <c r="J147" s="97"/>
      <c r="K147" s="114"/>
    </row>
    <row r="148" spans="1:11" s="7" customFormat="1" ht="15" customHeight="1">
      <c r="A148" s="111"/>
      <c r="B148" s="65" t="s">
        <v>8</v>
      </c>
      <c r="C148" s="112">
        <f>SUM(D148:J148)</f>
        <v>0</v>
      </c>
      <c r="D148" s="96"/>
      <c r="E148" s="96"/>
      <c r="F148" s="97"/>
      <c r="G148" s="97"/>
      <c r="H148" s="97"/>
      <c r="I148" s="97"/>
      <c r="J148" s="97"/>
      <c r="K148" s="114"/>
    </row>
    <row r="149" spans="1:11" s="7" customFormat="1" ht="15" customHeight="1">
      <c r="A149" s="111"/>
      <c r="B149" s="65" t="s">
        <v>9</v>
      </c>
      <c r="C149" s="112">
        <f>SUM(D149:J149)</f>
        <v>0</v>
      </c>
      <c r="D149" s="96"/>
      <c r="E149" s="96"/>
      <c r="F149" s="97"/>
      <c r="G149" s="97"/>
      <c r="H149" s="97"/>
      <c r="I149" s="97"/>
      <c r="J149" s="97"/>
      <c r="K149" s="114"/>
    </row>
    <row r="150" spans="1:11" s="5" customFormat="1" ht="15" customHeight="1">
      <c r="A150" s="111"/>
      <c r="B150" s="65"/>
      <c r="C150" s="112"/>
      <c r="D150" s="116"/>
      <c r="E150" s="116"/>
      <c r="F150" s="112"/>
      <c r="G150" s="112"/>
      <c r="H150" s="112"/>
      <c r="I150" s="112"/>
      <c r="J150" s="112"/>
      <c r="K150" s="114"/>
    </row>
    <row r="151" spans="1:11" s="5" customFormat="1" ht="15" customHeight="1">
      <c r="A151" s="107"/>
      <c r="B151" s="108" t="s">
        <v>23</v>
      </c>
      <c r="C151" s="109"/>
      <c r="D151" s="109"/>
      <c r="E151" s="109"/>
      <c r="F151" s="109"/>
      <c r="G151" s="109"/>
      <c r="H151" s="109"/>
      <c r="I151" s="109"/>
      <c r="J151" s="109"/>
      <c r="K151" s="110"/>
    </row>
    <row r="152" spans="1:11" s="16" customFormat="1" ht="31.5">
      <c r="A152" s="111"/>
      <c r="B152" s="65" t="s">
        <v>100</v>
      </c>
      <c r="C152" s="112">
        <f aca="true" t="shared" si="58" ref="C152:J152">SUM(C153:C154)</f>
        <v>0</v>
      </c>
      <c r="D152" s="96">
        <f t="shared" si="58"/>
        <v>0</v>
      </c>
      <c r="E152" s="96">
        <f t="shared" si="58"/>
        <v>0</v>
      </c>
      <c r="F152" s="97">
        <f t="shared" si="58"/>
        <v>0</v>
      </c>
      <c r="G152" s="97">
        <f t="shared" si="58"/>
        <v>0</v>
      </c>
      <c r="H152" s="97">
        <f t="shared" si="58"/>
        <v>0</v>
      </c>
      <c r="I152" s="97">
        <f t="shared" si="58"/>
        <v>0</v>
      </c>
      <c r="J152" s="97">
        <f t="shared" si="58"/>
        <v>0</v>
      </c>
      <c r="K152" s="115"/>
    </row>
    <row r="153" spans="1:11" s="7" customFormat="1" ht="15" customHeight="1">
      <c r="A153" s="111"/>
      <c r="B153" s="65" t="s">
        <v>7</v>
      </c>
      <c r="C153" s="112">
        <f>SUM(D153:J153)</f>
        <v>0</v>
      </c>
      <c r="D153" s="96">
        <f>SUM(D157)</f>
        <v>0</v>
      </c>
      <c r="E153" s="96">
        <f aca="true" t="shared" si="59" ref="E153:J153">SUM(E157)</f>
        <v>0</v>
      </c>
      <c r="F153" s="97">
        <f t="shared" si="59"/>
        <v>0</v>
      </c>
      <c r="G153" s="97">
        <f t="shared" si="59"/>
        <v>0</v>
      </c>
      <c r="H153" s="97">
        <f t="shared" si="59"/>
        <v>0</v>
      </c>
      <c r="I153" s="97">
        <f t="shared" si="59"/>
        <v>0</v>
      </c>
      <c r="J153" s="97">
        <f t="shared" si="59"/>
        <v>0</v>
      </c>
      <c r="K153" s="114"/>
    </row>
    <row r="154" spans="1:11" s="7" customFormat="1" ht="15" customHeight="1">
      <c r="A154" s="111"/>
      <c r="B154" s="65" t="s">
        <v>9</v>
      </c>
      <c r="C154" s="112">
        <f>SUM(D154:J154)</f>
        <v>0</v>
      </c>
      <c r="D154" s="96">
        <f>SUM(D158)</f>
        <v>0</v>
      </c>
      <c r="E154" s="96">
        <f aca="true" t="shared" si="60" ref="E154:J154">SUM(E158)</f>
        <v>0</v>
      </c>
      <c r="F154" s="97">
        <f t="shared" si="60"/>
        <v>0</v>
      </c>
      <c r="G154" s="97">
        <f t="shared" si="60"/>
        <v>0</v>
      </c>
      <c r="H154" s="97">
        <f t="shared" si="60"/>
        <v>0</v>
      </c>
      <c r="I154" s="97">
        <f t="shared" si="60"/>
        <v>0</v>
      </c>
      <c r="J154" s="97">
        <f t="shared" si="60"/>
        <v>0</v>
      </c>
      <c r="K154" s="114"/>
    </row>
    <row r="155" spans="1:11" s="5" customFormat="1" ht="15" customHeight="1">
      <c r="A155" s="111"/>
      <c r="B155" s="65"/>
      <c r="C155" s="112"/>
      <c r="D155" s="116"/>
      <c r="E155" s="116"/>
      <c r="F155" s="112"/>
      <c r="G155" s="112"/>
      <c r="H155" s="112"/>
      <c r="I155" s="112"/>
      <c r="J155" s="112"/>
      <c r="K155" s="114"/>
    </row>
    <row r="156" spans="1:11" s="7" customFormat="1" ht="81" customHeight="1">
      <c r="A156" s="93"/>
      <c r="B156" s="69" t="s">
        <v>130</v>
      </c>
      <c r="C156" s="112">
        <f>SUM(D156:J156)</f>
        <v>0</v>
      </c>
      <c r="D156" s="96">
        <f aca="true" t="shared" si="61" ref="D156:J156">SUM(D157:D158)</f>
        <v>0</v>
      </c>
      <c r="E156" s="96">
        <f t="shared" si="61"/>
        <v>0</v>
      </c>
      <c r="F156" s="97">
        <f t="shared" si="61"/>
        <v>0</v>
      </c>
      <c r="G156" s="97">
        <f t="shared" si="61"/>
        <v>0</v>
      </c>
      <c r="H156" s="97">
        <f t="shared" si="61"/>
        <v>0</v>
      </c>
      <c r="I156" s="97">
        <f t="shared" si="61"/>
        <v>0</v>
      </c>
      <c r="J156" s="97">
        <f t="shared" si="61"/>
        <v>0</v>
      </c>
      <c r="K156" s="114" t="s">
        <v>157</v>
      </c>
    </row>
    <row r="157" spans="1:11" s="7" customFormat="1" ht="15" customHeight="1">
      <c r="A157" s="93"/>
      <c r="B157" s="65" t="s">
        <v>7</v>
      </c>
      <c r="C157" s="112">
        <f>SUM(D157:J157)</f>
        <v>0</v>
      </c>
      <c r="D157" s="96">
        <f>SUM(D160+D163)</f>
        <v>0</v>
      </c>
      <c r="E157" s="96">
        <f aca="true" t="shared" si="62" ref="E157:J157">SUM(E160+E163)</f>
        <v>0</v>
      </c>
      <c r="F157" s="97">
        <f t="shared" si="62"/>
        <v>0</v>
      </c>
      <c r="G157" s="97">
        <f t="shared" si="62"/>
        <v>0</v>
      </c>
      <c r="H157" s="97">
        <f t="shared" si="62"/>
        <v>0</v>
      </c>
      <c r="I157" s="97">
        <f t="shared" si="62"/>
        <v>0</v>
      </c>
      <c r="J157" s="97">
        <f t="shared" si="62"/>
        <v>0</v>
      </c>
      <c r="K157" s="114"/>
    </row>
    <row r="158" spans="1:11" s="7" customFormat="1" ht="15" customHeight="1">
      <c r="A158" s="93"/>
      <c r="B158" s="65" t="s">
        <v>9</v>
      </c>
      <c r="C158" s="112">
        <f>SUM(D158:J158)</f>
        <v>0</v>
      </c>
      <c r="D158" s="96">
        <f>SUM(D161+D164)</f>
        <v>0</v>
      </c>
      <c r="E158" s="96">
        <f aca="true" t="shared" si="63" ref="E158:J158">SUM(E161+E164)</f>
        <v>0</v>
      </c>
      <c r="F158" s="97">
        <f t="shared" si="63"/>
        <v>0</v>
      </c>
      <c r="G158" s="97">
        <f t="shared" si="63"/>
        <v>0</v>
      </c>
      <c r="H158" s="97">
        <f t="shared" si="63"/>
        <v>0</v>
      </c>
      <c r="I158" s="97">
        <f t="shared" si="63"/>
        <v>0</v>
      </c>
      <c r="J158" s="97">
        <f t="shared" si="63"/>
        <v>0</v>
      </c>
      <c r="K158" s="114"/>
    </row>
    <row r="159" spans="1:11" s="7" customFormat="1" ht="15" customHeight="1">
      <c r="A159" s="93"/>
      <c r="B159" s="68" t="s">
        <v>110</v>
      </c>
      <c r="C159" s="112"/>
      <c r="D159" s="96"/>
      <c r="E159" s="96"/>
      <c r="F159" s="97"/>
      <c r="G159" s="97"/>
      <c r="H159" s="97"/>
      <c r="I159" s="97"/>
      <c r="J159" s="97"/>
      <c r="K159" s="114"/>
    </row>
    <row r="160" spans="1:11" s="7" customFormat="1" ht="15" customHeight="1">
      <c r="A160" s="93"/>
      <c r="B160" s="65" t="s">
        <v>7</v>
      </c>
      <c r="C160" s="112">
        <f>SUM(D160:J160)</f>
        <v>0</v>
      </c>
      <c r="D160" s="96"/>
      <c r="E160" s="96"/>
      <c r="F160" s="97"/>
      <c r="G160" s="97"/>
      <c r="H160" s="97"/>
      <c r="I160" s="97"/>
      <c r="J160" s="97"/>
      <c r="K160" s="114"/>
    </row>
    <row r="161" spans="1:11" s="7" customFormat="1" ht="15" customHeight="1">
      <c r="A161" s="93"/>
      <c r="B161" s="65" t="s">
        <v>9</v>
      </c>
      <c r="C161" s="112">
        <f>SUM(D161:J161)</f>
        <v>0</v>
      </c>
      <c r="D161" s="96"/>
      <c r="E161" s="96"/>
      <c r="F161" s="97"/>
      <c r="G161" s="97"/>
      <c r="H161" s="97"/>
      <c r="I161" s="97"/>
      <c r="J161" s="97"/>
      <c r="K161" s="114"/>
    </row>
    <row r="162" spans="1:11" s="7" customFormat="1" ht="35.25" customHeight="1">
      <c r="A162" s="93"/>
      <c r="B162" s="68" t="s">
        <v>111</v>
      </c>
      <c r="C162" s="112"/>
      <c r="D162" s="96"/>
      <c r="E162" s="96"/>
      <c r="F162" s="97"/>
      <c r="G162" s="97"/>
      <c r="H162" s="97"/>
      <c r="I162" s="97"/>
      <c r="J162" s="97"/>
      <c r="K162" s="114"/>
    </row>
    <row r="163" spans="1:11" s="7" customFormat="1" ht="15" customHeight="1">
      <c r="A163" s="93"/>
      <c r="B163" s="65" t="s">
        <v>7</v>
      </c>
      <c r="C163" s="112">
        <f>SUM(D163:J163)</f>
        <v>0</v>
      </c>
      <c r="D163" s="96"/>
      <c r="E163" s="96"/>
      <c r="F163" s="97"/>
      <c r="G163" s="97"/>
      <c r="H163" s="97"/>
      <c r="I163" s="97"/>
      <c r="J163" s="97"/>
      <c r="K163" s="114"/>
    </row>
    <row r="164" spans="1:11" s="7" customFormat="1" ht="15" customHeight="1">
      <c r="A164" s="93"/>
      <c r="B164" s="65" t="s">
        <v>9</v>
      </c>
      <c r="C164" s="112">
        <f>SUM(D164:J164)</f>
        <v>0</v>
      </c>
      <c r="D164" s="96"/>
      <c r="E164" s="96"/>
      <c r="F164" s="97"/>
      <c r="G164" s="97"/>
      <c r="H164" s="97"/>
      <c r="I164" s="97"/>
      <c r="J164" s="97"/>
      <c r="K164" s="114"/>
    </row>
    <row r="165" spans="1:11" s="5" customFormat="1" ht="15" customHeight="1">
      <c r="A165" s="111"/>
      <c r="B165" s="65"/>
      <c r="C165" s="97"/>
      <c r="D165" s="96"/>
      <c r="E165" s="96"/>
      <c r="F165" s="97"/>
      <c r="G165" s="97"/>
      <c r="H165" s="97"/>
      <c r="I165" s="97"/>
      <c r="J165" s="97"/>
      <c r="K165" s="114"/>
    </row>
    <row r="166" spans="1:11" s="5" customFormat="1" ht="15" customHeight="1">
      <c r="A166" s="107"/>
      <c r="B166" s="108" t="s">
        <v>15</v>
      </c>
      <c r="C166" s="109"/>
      <c r="D166" s="109"/>
      <c r="E166" s="109"/>
      <c r="F166" s="109"/>
      <c r="G166" s="109"/>
      <c r="H166" s="109"/>
      <c r="I166" s="109"/>
      <c r="J166" s="109"/>
      <c r="K166" s="110"/>
    </row>
    <row r="167" spans="1:11" s="15" customFormat="1" ht="22.5" customHeight="1">
      <c r="A167" s="111"/>
      <c r="B167" s="65" t="s">
        <v>16</v>
      </c>
      <c r="C167" s="112">
        <f>SUM(D167:J167)</f>
        <v>2258580.9685</v>
      </c>
      <c r="D167" s="116">
        <f>SUM(D168:D171)</f>
        <v>364991.669</v>
      </c>
      <c r="E167" s="116">
        <f aca="true" t="shared" si="64" ref="E167:J167">SUM(E168:E171)</f>
        <v>311126.389</v>
      </c>
      <c r="F167" s="112">
        <f>SUM(F168:F171)</f>
        <v>336877.03650000005</v>
      </c>
      <c r="G167" s="112">
        <f t="shared" si="64"/>
        <v>326070.374</v>
      </c>
      <c r="H167" s="112">
        <f t="shared" si="64"/>
        <v>306232.4</v>
      </c>
      <c r="I167" s="112">
        <f t="shared" si="64"/>
        <v>306312.4</v>
      </c>
      <c r="J167" s="112">
        <f t="shared" si="64"/>
        <v>306970.7</v>
      </c>
      <c r="K167" s="113"/>
    </row>
    <row r="168" spans="1:11" s="5" customFormat="1" ht="15" customHeight="1">
      <c r="A168" s="111"/>
      <c r="B168" s="65" t="s">
        <v>7</v>
      </c>
      <c r="C168" s="112">
        <f>SUM(D168:J168)</f>
        <v>801413.5525000001</v>
      </c>
      <c r="D168" s="116">
        <f>SUM(D174+D184+D209+D220+D224+D240+D251+D255+D256+D262+D270)</f>
        <v>163755.794</v>
      </c>
      <c r="E168" s="116">
        <f>SUM(E174+E184+E209+E220+E224+E240+E251+E255+E256+E262+E270)</f>
        <v>130901.93800000001</v>
      </c>
      <c r="F168" s="112">
        <f>SUM(F174+F184+F209+F220+F224+F240+F251+F255+F256+F262+F263+F270)</f>
        <v>102652.23650000003</v>
      </c>
      <c r="G168" s="112">
        <f>SUM(G174+G184+G209+G220+G224+G240+G251+G255+G256+G262+G263+G270)</f>
        <v>106707.084</v>
      </c>
      <c r="H168" s="112">
        <f>SUM(H174+H184+H209+H220+H224+H240+H251+H255+H256+H262+H270)</f>
        <v>98859.40000000001</v>
      </c>
      <c r="I168" s="112">
        <f>SUM(I174+I184+I209+I220+I224+I240+I251+I255+I256+I262+I270)</f>
        <v>98939.4</v>
      </c>
      <c r="J168" s="112">
        <f>SUM(J174+J184+J209+J220+J224+J240+J251+J255+J256+J262+J270)</f>
        <v>99597.7</v>
      </c>
      <c r="K168" s="119"/>
    </row>
    <row r="169" spans="1:11" s="5" customFormat="1" ht="15" customHeight="1">
      <c r="A169" s="111"/>
      <c r="B169" s="65" t="s">
        <v>8</v>
      </c>
      <c r="C169" s="112">
        <f>SUM(D169:J169)</f>
        <v>8764.596</v>
      </c>
      <c r="D169" s="116">
        <f aca="true" t="shared" si="65" ref="D169:J169">SUM(D210+D242+D272)</f>
        <v>1155.675</v>
      </c>
      <c r="E169" s="116">
        <f t="shared" si="65"/>
        <v>2441.431</v>
      </c>
      <c r="F169" s="112">
        <f t="shared" si="65"/>
        <v>3911.7</v>
      </c>
      <c r="G169" s="112">
        <f t="shared" si="65"/>
        <v>1255.79</v>
      </c>
      <c r="H169" s="112">
        <f t="shared" si="65"/>
        <v>0</v>
      </c>
      <c r="I169" s="112">
        <f t="shared" si="65"/>
        <v>0</v>
      </c>
      <c r="J169" s="112">
        <f t="shared" si="65"/>
        <v>0</v>
      </c>
      <c r="K169" s="114"/>
    </row>
    <row r="170" spans="1:11" s="5" customFormat="1" ht="15" customHeight="1">
      <c r="A170" s="111"/>
      <c r="B170" s="65" t="s">
        <v>9</v>
      </c>
      <c r="C170" s="112">
        <f>SUM(D170:J170)</f>
        <v>1429705.42</v>
      </c>
      <c r="D170" s="116">
        <f>SUM(D175+D185+D211+D217+D225+D232+D237+D241+D252+D257+D264+D271)</f>
        <v>195882.8</v>
      </c>
      <c r="E170" s="116">
        <f aca="true" t="shared" si="66" ref="E170:J170">SUM(E175+E185+E211+E217+E225+E232+E237+E241+E252+E257+E264+E271)</f>
        <v>177783.02000000002</v>
      </c>
      <c r="F170" s="112">
        <f t="shared" si="66"/>
        <v>228613.1</v>
      </c>
      <c r="G170" s="112">
        <f>SUM(G175+G185+G211+G217+G225+G232+G237+G241+G252+G257+G264+G271)</f>
        <v>214907.5</v>
      </c>
      <c r="H170" s="112">
        <f t="shared" si="66"/>
        <v>204173</v>
      </c>
      <c r="I170" s="112">
        <f t="shared" si="66"/>
        <v>204173</v>
      </c>
      <c r="J170" s="112">
        <f t="shared" si="66"/>
        <v>204173</v>
      </c>
      <c r="K170" s="114"/>
    </row>
    <row r="171" spans="1:11" s="5" customFormat="1" ht="15" customHeight="1">
      <c r="A171" s="111"/>
      <c r="B171" s="66" t="s">
        <v>10</v>
      </c>
      <c r="C171" s="112">
        <f>SUM(D171:J171)</f>
        <v>18697.4</v>
      </c>
      <c r="D171" s="116">
        <f>SUM(D221+D229)</f>
        <v>4197.4</v>
      </c>
      <c r="E171" s="116">
        <f aca="true" t="shared" si="67" ref="E171:J171">SUM(E221+E229)</f>
        <v>0</v>
      </c>
      <c r="F171" s="112">
        <f t="shared" si="67"/>
        <v>1700</v>
      </c>
      <c r="G171" s="112">
        <f t="shared" si="67"/>
        <v>3200</v>
      </c>
      <c r="H171" s="112">
        <f t="shared" si="67"/>
        <v>3200</v>
      </c>
      <c r="I171" s="112">
        <f t="shared" si="67"/>
        <v>3200</v>
      </c>
      <c r="J171" s="112">
        <f t="shared" si="67"/>
        <v>3200</v>
      </c>
      <c r="K171" s="114"/>
    </row>
    <row r="172" spans="1:11" s="5" customFormat="1" ht="15" customHeight="1">
      <c r="A172" s="111"/>
      <c r="B172" s="66"/>
      <c r="C172" s="112"/>
      <c r="D172" s="96"/>
      <c r="E172" s="96"/>
      <c r="F172" s="97"/>
      <c r="G172" s="97"/>
      <c r="H172" s="97"/>
      <c r="I172" s="97"/>
      <c r="J172" s="97"/>
      <c r="K172" s="114"/>
    </row>
    <row r="173" spans="1:11" s="16" customFormat="1" ht="50.25" customHeight="1">
      <c r="A173" s="93"/>
      <c r="B173" s="65" t="s">
        <v>131</v>
      </c>
      <c r="C173" s="97">
        <f>SUM(C174:C175)</f>
        <v>11358.483</v>
      </c>
      <c r="D173" s="96">
        <f>SUM(D174:D175)</f>
        <v>0</v>
      </c>
      <c r="E173" s="96">
        <f aca="true" t="shared" si="68" ref="E173:J173">SUM(E174:E175)</f>
        <v>0</v>
      </c>
      <c r="F173" s="97">
        <f t="shared" si="68"/>
        <v>970.378</v>
      </c>
      <c r="G173" s="97">
        <f t="shared" si="68"/>
        <v>1838.105</v>
      </c>
      <c r="H173" s="97">
        <f t="shared" si="68"/>
        <v>3550</v>
      </c>
      <c r="I173" s="97">
        <f t="shared" si="68"/>
        <v>2000</v>
      </c>
      <c r="J173" s="97">
        <f t="shared" si="68"/>
        <v>3000</v>
      </c>
      <c r="K173" s="114" t="s">
        <v>164</v>
      </c>
    </row>
    <row r="174" spans="1:11" s="7" customFormat="1" ht="15" customHeight="1">
      <c r="A174" s="93"/>
      <c r="B174" s="65" t="s">
        <v>7</v>
      </c>
      <c r="C174" s="112">
        <f>SUM(D174:J174)</f>
        <v>11358.483</v>
      </c>
      <c r="D174" s="96">
        <f aca="true" t="shared" si="69" ref="D174:J174">SUM(D177:D181)</f>
        <v>0</v>
      </c>
      <c r="E174" s="96">
        <f t="shared" si="69"/>
        <v>0</v>
      </c>
      <c r="F174" s="97">
        <f t="shared" si="69"/>
        <v>970.378</v>
      </c>
      <c r="G174" s="97">
        <f t="shared" si="69"/>
        <v>1838.105</v>
      </c>
      <c r="H174" s="97">
        <f t="shared" si="69"/>
        <v>3550</v>
      </c>
      <c r="I174" s="97">
        <f t="shared" si="69"/>
        <v>2000</v>
      </c>
      <c r="J174" s="97">
        <f t="shared" si="69"/>
        <v>3000</v>
      </c>
      <c r="K174" s="114"/>
    </row>
    <row r="175" spans="1:11" s="7" customFormat="1" ht="15" customHeight="1">
      <c r="A175" s="93"/>
      <c r="B175" s="65" t="s">
        <v>9</v>
      </c>
      <c r="C175" s="112">
        <f aca="true" t="shared" si="70" ref="C175:C181">SUM(D175:J175)</f>
        <v>0</v>
      </c>
      <c r="D175" s="96"/>
      <c r="E175" s="96"/>
      <c r="F175" s="97"/>
      <c r="G175" s="97"/>
      <c r="H175" s="97"/>
      <c r="I175" s="97"/>
      <c r="J175" s="97"/>
      <c r="K175" s="114"/>
    </row>
    <row r="176" spans="1:11" s="13" customFormat="1" ht="15" customHeight="1">
      <c r="A176" s="111"/>
      <c r="B176" s="66" t="s">
        <v>19</v>
      </c>
      <c r="C176" s="112"/>
      <c r="D176" s="117"/>
      <c r="E176" s="117"/>
      <c r="F176" s="118"/>
      <c r="G176" s="118"/>
      <c r="H176" s="118"/>
      <c r="I176" s="118"/>
      <c r="J176" s="118"/>
      <c r="K176" s="115"/>
    </row>
    <row r="177" spans="1:11" s="7" customFormat="1" ht="15" customHeight="1">
      <c r="A177" s="111"/>
      <c r="B177" s="65" t="s">
        <v>75</v>
      </c>
      <c r="C177" s="112">
        <f>SUM(D177:J177)</f>
        <v>945.25</v>
      </c>
      <c r="D177" s="96"/>
      <c r="E177" s="96"/>
      <c r="F177" s="97"/>
      <c r="G177" s="97">
        <f>1500-550-4.75</f>
        <v>945.25</v>
      </c>
      <c r="H177" s="97"/>
      <c r="I177" s="97"/>
      <c r="J177" s="97"/>
      <c r="K177" s="114"/>
    </row>
    <row r="178" spans="1:11" s="7" customFormat="1" ht="15" customHeight="1">
      <c r="A178" s="111"/>
      <c r="B178" s="65" t="s">
        <v>28</v>
      </c>
      <c r="C178" s="112">
        <f>SUM(D178:J178)</f>
        <v>1863.2330000000002</v>
      </c>
      <c r="D178" s="96"/>
      <c r="E178" s="96"/>
      <c r="F178" s="97">
        <f>970.378</f>
        <v>970.378</v>
      </c>
      <c r="G178" s="97">
        <v>892.855</v>
      </c>
      <c r="H178" s="97"/>
      <c r="I178" s="97"/>
      <c r="J178" s="97"/>
      <c r="K178" s="114"/>
    </row>
    <row r="179" spans="1:11" s="7" customFormat="1" ht="15" customHeight="1">
      <c r="A179" s="111"/>
      <c r="B179" s="65" t="s">
        <v>29</v>
      </c>
      <c r="C179" s="112">
        <f t="shared" si="70"/>
        <v>3550</v>
      </c>
      <c r="D179" s="96"/>
      <c r="E179" s="96"/>
      <c r="F179" s="97"/>
      <c r="G179" s="97"/>
      <c r="H179" s="97">
        <v>3550</v>
      </c>
      <c r="I179" s="97"/>
      <c r="J179" s="97"/>
      <c r="K179" s="114"/>
    </row>
    <row r="180" spans="1:11" s="7" customFormat="1" ht="15" customHeight="1">
      <c r="A180" s="111"/>
      <c r="B180" s="65" t="s">
        <v>30</v>
      </c>
      <c r="C180" s="112">
        <f t="shared" si="70"/>
        <v>2000</v>
      </c>
      <c r="D180" s="96"/>
      <c r="E180" s="96"/>
      <c r="F180" s="97"/>
      <c r="G180" s="97"/>
      <c r="H180" s="97"/>
      <c r="I180" s="97">
        <v>2000</v>
      </c>
      <c r="J180" s="97"/>
      <c r="K180" s="114"/>
    </row>
    <row r="181" spans="1:11" s="7" customFormat="1" ht="15" customHeight="1">
      <c r="A181" s="111"/>
      <c r="B181" s="65" t="s">
        <v>76</v>
      </c>
      <c r="C181" s="112">
        <f t="shared" si="70"/>
        <v>3000</v>
      </c>
      <c r="D181" s="96"/>
      <c r="E181" s="96"/>
      <c r="F181" s="97"/>
      <c r="G181" s="97"/>
      <c r="H181" s="97"/>
      <c r="I181" s="97"/>
      <c r="J181" s="97">
        <v>3000</v>
      </c>
      <c r="K181" s="114"/>
    </row>
    <row r="182" spans="1:11" s="5" customFormat="1" ht="15" customHeight="1">
      <c r="A182" s="111"/>
      <c r="B182" s="65"/>
      <c r="C182" s="112"/>
      <c r="D182" s="96"/>
      <c r="E182" s="96"/>
      <c r="F182" s="97"/>
      <c r="G182" s="97"/>
      <c r="H182" s="97"/>
      <c r="I182" s="97"/>
      <c r="J182" s="97"/>
      <c r="K182" s="114"/>
    </row>
    <row r="183" spans="1:11" s="15" customFormat="1" ht="78.75">
      <c r="A183" s="111"/>
      <c r="B183" s="65" t="s">
        <v>132</v>
      </c>
      <c r="C183" s="97">
        <f>SUM(C184:C185)</f>
        <v>29395.573080000002</v>
      </c>
      <c r="D183" s="96">
        <f aca="true" t="shared" si="71" ref="D183:J183">SUM(D184:D185)</f>
        <v>8429.987000000001</v>
      </c>
      <c r="E183" s="96">
        <f>SUM(E184:E185)</f>
        <v>8229.652999999998</v>
      </c>
      <c r="F183" s="97">
        <f t="shared" si="71"/>
        <v>3454.91525</v>
      </c>
      <c r="G183" s="97">
        <f t="shared" si="71"/>
        <v>9281.01783</v>
      </c>
      <c r="H183" s="97">
        <f t="shared" si="71"/>
        <v>0</v>
      </c>
      <c r="I183" s="97">
        <f t="shared" si="71"/>
        <v>0</v>
      </c>
      <c r="J183" s="97">
        <f t="shared" si="71"/>
        <v>0</v>
      </c>
      <c r="K183" s="114" t="s">
        <v>179</v>
      </c>
    </row>
    <row r="184" spans="1:11" s="5" customFormat="1" ht="15" customHeight="1">
      <c r="A184" s="111"/>
      <c r="B184" s="65" t="s">
        <v>7</v>
      </c>
      <c r="C184" s="112">
        <f aca="true" t="shared" si="72" ref="C184:C206">SUM(D184:J184)</f>
        <v>27371.773080000003</v>
      </c>
      <c r="D184" s="96">
        <v>7281.987</v>
      </c>
      <c r="E184" s="96">
        <f aca="true" t="shared" si="73" ref="E184:J184">E187+E199</f>
        <v>7353.852999999999</v>
      </c>
      <c r="F184" s="97">
        <f t="shared" si="73"/>
        <v>3454.91525</v>
      </c>
      <c r="G184" s="97">
        <f t="shared" si="73"/>
        <v>9281.01783</v>
      </c>
      <c r="H184" s="97">
        <f t="shared" si="73"/>
        <v>0</v>
      </c>
      <c r="I184" s="97">
        <f t="shared" si="73"/>
        <v>0</v>
      </c>
      <c r="J184" s="97">
        <f t="shared" si="73"/>
        <v>0</v>
      </c>
      <c r="K184" s="119"/>
    </row>
    <row r="185" spans="1:11" s="5" customFormat="1" ht="15" customHeight="1">
      <c r="A185" s="111"/>
      <c r="B185" s="65" t="s">
        <v>9</v>
      </c>
      <c r="C185" s="112">
        <f t="shared" si="72"/>
        <v>2023.8</v>
      </c>
      <c r="D185" s="96">
        <v>1148</v>
      </c>
      <c r="E185" s="96">
        <v>875.8</v>
      </c>
      <c r="F185" s="97"/>
      <c r="G185" s="97"/>
      <c r="H185" s="97"/>
      <c r="I185" s="97"/>
      <c r="J185" s="97"/>
      <c r="K185" s="119"/>
    </row>
    <row r="186" spans="1:11" s="15" customFormat="1" ht="15" customHeight="1">
      <c r="A186" s="111"/>
      <c r="B186" s="66" t="s">
        <v>85</v>
      </c>
      <c r="C186" s="112">
        <f t="shared" si="72"/>
        <v>25681.38508</v>
      </c>
      <c r="D186" s="96">
        <f aca="true" t="shared" si="74" ref="D186:J186">SUM(D188:D198)</f>
        <v>8429.987000000001</v>
      </c>
      <c r="E186" s="96">
        <f t="shared" si="74"/>
        <v>7174.4529999999995</v>
      </c>
      <c r="F186" s="97">
        <f t="shared" si="74"/>
        <v>1495.91825</v>
      </c>
      <c r="G186" s="97">
        <f t="shared" si="74"/>
        <v>8581.02683</v>
      </c>
      <c r="H186" s="97">
        <f t="shared" si="74"/>
        <v>0</v>
      </c>
      <c r="I186" s="97">
        <f t="shared" si="74"/>
        <v>0</v>
      </c>
      <c r="J186" s="97">
        <f t="shared" si="74"/>
        <v>0</v>
      </c>
      <c r="K186" s="115"/>
    </row>
    <row r="187" spans="1:11" s="6" customFormat="1" ht="20.25" customHeight="1">
      <c r="A187" s="111"/>
      <c r="B187" s="72" t="s">
        <v>86</v>
      </c>
      <c r="C187" s="120">
        <f t="shared" si="72"/>
        <v>23657.58508</v>
      </c>
      <c r="D187" s="117">
        <f>D186-D185</f>
        <v>7281.987000000001</v>
      </c>
      <c r="E187" s="117">
        <f>E186-E185</f>
        <v>6298.652999999999</v>
      </c>
      <c r="F187" s="118">
        <f>F186</f>
        <v>1495.91825</v>
      </c>
      <c r="G187" s="118">
        <f>G186</f>
        <v>8581.02683</v>
      </c>
      <c r="H187" s="118">
        <f>H186</f>
        <v>0</v>
      </c>
      <c r="I187" s="118">
        <f>I186</f>
        <v>0</v>
      </c>
      <c r="J187" s="118">
        <f>J186</f>
        <v>0</v>
      </c>
      <c r="K187" s="115"/>
    </row>
    <row r="188" spans="1:11" s="13" customFormat="1" ht="15" customHeight="1">
      <c r="A188" s="111"/>
      <c r="B188" s="66" t="s">
        <v>77</v>
      </c>
      <c r="C188" s="112">
        <f t="shared" si="72"/>
        <v>1998.382</v>
      </c>
      <c r="D188" s="96">
        <v>1998.382</v>
      </c>
      <c r="E188" s="117"/>
      <c r="F188" s="118"/>
      <c r="G188" s="118"/>
      <c r="H188" s="118"/>
      <c r="I188" s="118"/>
      <c r="J188" s="118"/>
      <c r="K188" s="115"/>
    </row>
    <row r="189" spans="1:11" s="7" customFormat="1" ht="15" customHeight="1">
      <c r="A189" s="111"/>
      <c r="B189" s="65" t="s">
        <v>340</v>
      </c>
      <c r="C189" s="112">
        <f t="shared" si="72"/>
        <v>1492.69372</v>
      </c>
      <c r="D189" s="96"/>
      <c r="E189" s="96"/>
      <c r="F189" s="97">
        <f>1300+26-450.34616</f>
        <v>875.65384</v>
      </c>
      <c r="G189" s="97">
        <f>425.641+191.39888</f>
        <v>617.03988</v>
      </c>
      <c r="H189" s="97"/>
      <c r="I189" s="97"/>
      <c r="J189" s="97"/>
      <c r="K189" s="114"/>
    </row>
    <row r="190" spans="1:11" s="7" customFormat="1" ht="15.75">
      <c r="A190" s="111"/>
      <c r="B190" s="65" t="s">
        <v>24</v>
      </c>
      <c r="C190" s="112">
        <f t="shared" si="72"/>
        <v>909</v>
      </c>
      <c r="D190" s="96"/>
      <c r="E190" s="96">
        <f>875.8+624.2-591</f>
        <v>909</v>
      </c>
      <c r="F190" s="97"/>
      <c r="G190" s="97"/>
      <c r="H190" s="97"/>
      <c r="I190" s="97"/>
      <c r="J190" s="97"/>
      <c r="K190" s="114"/>
    </row>
    <row r="191" spans="1:11" s="13" customFormat="1" ht="15" customHeight="1">
      <c r="A191" s="111"/>
      <c r="B191" s="66" t="s">
        <v>161</v>
      </c>
      <c r="C191" s="112">
        <f t="shared" si="72"/>
        <v>5662.9439999999995</v>
      </c>
      <c r="D191" s="96">
        <v>2785.291</v>
      </c>
      <c r="E191" s="96">
        <f>2877.653</f>
        <v>2877.653</v>
      </c>
      <c r="F191" s="97">
        <f>2300-186.99-1328.01-785</f>
        <v>0</v>
      </c>
      <c r="G191" s="97"/>
      <c r="H191" s="97"/>
      <c r="I191" s="97"/>
      <c r="J191" s="97"/>
      <c r="K191" s="115"/>
    </row>
    <row r="192" spans="1:11" s="7" customFormat="1" ht="15" customHeight="1">
      <c r="A192" s="111"/>
      <c r="B192" s="65" t="s">
        <v>338</v>
      </c>
      <c r="C192" s="112">
        <f t="shared" si="72"/>
        <v>2087.7177300000003</v>
      </c>
      <c r="D192" s="96"/>
      <c r="E192" s="96"/>
      <c r="F192" s="97"/>
      <c r="G192" s="97">
        <f>2100+0.001-12.28327</f>
        <v>2087.7177300000003</v>
      </c>
      <c r="H192" s="97"/>
      <c r="I192" s="97"/>
      <c r="J192" s="97"/>
      <c r="K192" s="114"/>
    </row>
    <row r="193" spans="1:11" s="7" customFormat="1" ht="15.75">
      <c r="A193" s="111"/>
      <c r="B193" s="65" t="s">
        <v>326</v>
      </c>
      <c r="C193" s="112">
        <f t="shared" si="72"/>
        <v>4495.44483</v>
      </c>
      <c r="D193" s="96">
        <f>1383.314+1148</f>
        <v>2531.3140000000003</v>
      </c>
      <c r="E193" s="96"/>
      <c r="F193" s="97"/>
      <c r="G193" s="97">
        <f>2500-477.17513-58.69404</f>
        <v>1964.1308299999998</v>
      </c>
      <c r="H193" s="97"/>
      <c r="I193" s="97"/>
      <c r="J193" s="97"/>
      <c r="K193" s="114"/>
    </row>
    <row r="194" spans="1:11" s="7" customFormat="1" ht="15.75">
      <c r="A194" s="111"/>
      <c r="B194" s="65" t="s">
        <v>197</v>
      </c>
      <c r="C194" s="112">
        <f t="shared" si="72"/>
        <v>739</v>
      </c>
      <c r="D194" s="96">
        <f>1000-535</f>
        <v>465</v>
      </c>
      <c r="E194" s="96"/>
      <c r="F194" s="97">
        <f>274</f>
        <v>274</v>
      </c>
      <c r="G194" s="97"/>
      <c r="H194" s="97"/>
      <c r="I194" s="97"/>
      <c r="J194" s="97"/>
      <c r="K194" s="114"/>
    </row>
    <row r="195" spans="1:11" s="7" customFormat="1" ht="15.75">
      <c r="A195" s="111"/>
      <c r="B195" s="65" t="s">
        <v>148</v>
      </c>
      <c r="C195" s="112">
        <f t="shared" si="72"/>
        <v>3387.8</v>
      </c>
      <c r="D195" s="96"/>
      <c r="E195" s="96">
        <f>2000+512+875.8</f>
        <v>3387.8</v>
      </c>
      <c r="F195" s="97"/>
      <c r="G195" s="97"/>
      <c r="H195" s="97"/>
      <c r="I195" s="97"/>
      <c r="J195" s="97"/>
      <c r="K195" s="114"/>
    </row>
    <row r="196" spans="1:11" s="7" customFormat="1" ht="34.5" customHeight="1">
      <c r="A196" s="111"/>
      <c r="B196" s="65" t="s">
        <v>198</v>
      </c>
      <c r="C196" s="112">
        <f t="shared" si="72"/>
        <v>2353.4028</v>
      </c>
      <c r="D196" s="96"/>
      <c r="E196" s="96"/>
      <c r="F196" s="97">
        <f>800-453.73559</f>
        <v>346.26441</v>
      </c>
      <c r="G196" s="97">
        <f>2007.145-0.00661</f>
        <v>2007.13839</v>
      </c>
      <c r="H196" s="97"/>
      <c r="I196" s="97"/>
      <c r="J196" s="97"/>
      <c r="K196" s="114"/>
    </row>
    <row r="197" spans="1:11" s="7" customFormat="1" ht="15" customHeight="1">
      <c r="A197" s="111"/>
      <c r="B197" s="65" t="s">
        <v>174</v>
      </c>
      <c r="C197" s="112">
        <f t="shared" si="72"/>
        <v>1905</v>
      </c>
      <c r="D197" s="96"/>
      <c r="E197" s="96"/>
      <c r="F197" s="97"/>
      <c r="G197" s="97">
        <f>3000-1095</f>
        <v>1905</v>
      </c>
      <c r="H197" s="97"/>
      <c r="I197" s="97"/>
      <c r="J197" s="97"/>
      <c r="K197" s="114"/>
    </row>
    <row r="198" spans="1:11" s="7" customFormat="1" ht="15" customHeight="1">
      <c r="A198" s="111"/>
      <c r="B198" s="65" t="s">
        <v>17</v>
      </c>
      <c r="C198" s="112">
        <f t="shared" si="72"/>
        <v>650</v>
      </c>
      <c r="D198" s="96">
        <v>650</v>
      </c>
      <c r="E198" s="96"/>
      <c r="F198" s="97"/>
      <c r="G198" s="97"/>
      <c r="H198" s="97"/>
      <c r="I198" s="97"/>
      <c r="J198" s="97"/>
      <c r="K198" s="114"/>
    </row>
    <row r="199" spans="1:11" s="53" customFormat="1" ht="32.25" customHeight="1">
      <c r="A199" s="111"/>
      <c r="B199" s="68" t="s">
        <v>84</v>
      </c>
      <c r="C199" s="112">
        <f t="shared" si="72"/>
        <v>3714.188</v>
      </c>
      <c r="D199" s="96">
        <f aca="true" t="shared" si="75" ref="D199:J199">SUM(D200:D206)</f>
        <v>0</v>
      </c>
      <c r="E199" s="96">
        <f t="shared" si="75"/>
        <v>1055.2</v>
      </c>
      <c r="F199" s="97">
        <f t="shared" si="75"/>
        <v>1958.9969999999998</v>
      </c>
      <c r="G199" s="97">
        <f t="shared" si="75"/>
        <v>699.991</v>
      </c>
      <c r="H199" s="97">
        <f t="shared" si="75"/>
        <v>0</v>
      </c>
      <c r="I199" s="97">
        <f t="shared" si="75"/>
        <v>0</v>
      </c>
      <c r="J199" s="97">
        <f t="shared" si="75"/>
        <v>0</v>
      </c>
      <c r="K199" s="114"/>
    </row>
    <row r="200" spans="1:11" s="7" customFormat="1" ht="15" customHeight="1">
      <c r="A200" s="111"/>
      <c r="B200" s="68" t="s">
        <v>78</v>
      </c>
      <c r="C200" s="112">
        <f t="shared" si="72"/>
        <v>800</v>
      </c>
      <c r="D200" s="96"/>
      <c r="E200" s="96">
        <f>1000-200</f>
        <v>800</v>
      </c>
      <c r="F200" s="97"/>
      <c r="G200" s="97"/>
      <c r="H200" s="97"/>
      <c r="I200" s="97"/>
      <c r="J200" s="97"/>
      <c r="K200" s="114"/>
    </row>
    <row r="201" spans="1:11" s="7" customFormat="1" ht="15" customHeight="1">
      <c r="A201" s="111"/>
      <c r="B201" s="68" t="s">
        <v>79</v>
      </c>
      <c r="C201" s="112">
        <f t="shared" si="72"/>
        <v>374</v>
      </c>
      <c r="D201" s="96"/>
      <c r="E201" s="96"/>
      <c r="F201" s="97">
        <f>400-26</f>
        <v>374</v>
      </c>
      <c r="G201" s="97"/>
      <c r="H201" s="97"/>
      <c r="I201" s="97"/>
      <c r="J201" s="97"/>
      <c r="K201" s="114"/>
    </row>
    <row r="202" spans="1:11" s="7" customFormat="1" ht="15" customHeight="1">
      <c r="A202" s="111"/>
      <c r="B202" s="68" t="s">
        <v>330</v>
      </c>
      <c r="C202" s="112">
        <f t="shared" si="72"/>
        <v>299.992</v>
      </c>
      <c r="D202" s="96"/>
      <c r="E202" s="96"/>
      <c r="F202" s="97"/>
      <c r="G202" s="97">
        <f>299.992</f>
        <v>299.992</v>
      </c>
      <c r="H202" s="97"/>
      <c r="I202" s="97"/>
      <c r="J202" s="97"/>
      <c r="K202" s="114"/>
    </row>
    <row r="203" spans="1:11" s="7" customFormat="1" ht="15" customHeight="1">
      <c r="A203" s="111"/>
      <c r="B203" s="68" t="s">
        <v>28</v>
      </c>
      <c r="C203" s="112">
        <f t="shared" si="72"/>
        <v>785</v>
      </c>
      <c r="D203" s="96"/>
      <c r="E203" s="96"/>
      <c r="F203" s="97">
        <f>785</f>
        <v>785</v>
      </c>
      <c r="G203" s="97"/>
      <c r="H203" s="97"/>
      <c r="I203" s="97"/>
      <c r="J203" s="97"/>
      <c r="K203" s="114"/>
    </row>
    <row r="204" spans="1:11" s="7" customFormat="1" ht="15" customHeight="1">
      <c r="A204" s="111"/>
      <c r="B204" s="68" t="s">
        <v>80</v>
      </c>
      <c r="C204" s="112">
        <f t="shared" si="72"/>
        <v>399.999</v>
      </c>
      <c r="D204" s="96"/>
      <c r="E204" s="96"/>
      <c r="F204" s="97"/>
      <c r="G204" s="97">
        <f>400-0.001</f>
        <v>399.999</v>
      </c>
      <c r="H204" s="97"/>
      <c r="I204" s="97"/>
      <c r="J204" s="97"/>
      <c r="K204" s="114"/>
    </row>
    <row r="205" spans="1:11" s="7" customFormat="1" ht="15" customHeight="1">
      <c r="A205" s="111"/>
      <c r="B205" s="68" t="s">
        <v>31</v>
      </c>
      <c r="C205" s="112">
        <f t="shared" si="72"/>
        <v>799.997</v>
      </c>
      <c r="D205" s="96"/>
      <c r="E205" s="96"/>
      <c r="F205" s="97">
        <f>800-0.003</f>
        <v>799.997</v>
      </c>
      <c r="G205" s="97"/>
      <c r="H205" s="97"/>
      <c r="I205" s="97"/>
      <c r="J205" s="97"/>
      <c r="K205" s="114"/>
    </row>
    <row r="206" spans="1:11" s="7" customFormat="1" ht="15" customHeight="1">
      <c r="A206" s="111"/>
      <c r="B206" s="68" t="s">
        <v>64</v>
      </c>
      <c r="C206" s="112">
        <f t="shared" si="72"/>
        <v>255.2</v>
      </c>
      <c r="D206" s="96"/>
      <c r="E206" s="96">
        <f>550-110-184.8</f>
        <v>255.2</v>
      </c>
      <c r="F206" s="97"/>
      <c r="G206" s="97"/>
      <c r="H206" s="97"/>
      <c r="I206" s="97"/>
      <c r="J206" s="97"/>
      <c r="K206" s="114"/>
    </row>
    <row r="207" spans="1:11" s="5" customFormat="1" ht="15" customHeight="1">
      <c r="A207" s="93"/>
      <c r="B207" s="94"/>
      <c r="C207" s="112"/>
      <c r="D207" s="96"/>
      <c r="E207" s="96"/>
      <c r="F207" s="97"/>
      <c r="G207" s="97"/>
      <c r="H207" s="97"/>
      <c r="I207" s="97"/>
      <c r="J207" s="97"/>
      <c r="K207" s="114"/>
    </row>
    <row r="208" spans="1:11" s="53" customFormat="1" ht="63" customHeight="1">
      <c r="A208" s="93"/>
      <c r="B208" s="73" t="s">
        <v>133</v>
      </c>
      <c r="C208" s="97">
        <f>SUM(C209:C211)</f>
        <v>2694.4</v>
      </c>
      <c r="D208" s="96">
        <f>SUM(D209:D210)</f>
        <v>0</v>
      </c>
      <c r="E208" s="96">
        <f>SUM(E209:E211)</f>
        <v>2694.4</v>
      </c>
      <c r="F208" s="97">
        <f>SUM(F209:F210)</f>
        <v>0</v>
      </c>
      <c r="G208" s="97">
        <f>SUM(G209:G210)</f>
        <v>0</v>
      </c>
      <c r="H208" s="97">
        <f>SUM(H209:H210)</f>
        <v>0</v>
      </c>
      <c r="I208" s="97">
        <f>SUM(I209:I210)</f>
        <v>0</v>
      </c>
      <c r="J208" s="97">
        <f>SUM(J209:J210)</f>
        <v>0</v>
      </c>
      <c r="K208" s="114" t="s">
        <v>328</v>
      </c>
    </row>
    <row r="209" spans="1:11" s="7" customFormat="1" ht="15" customHeight="1">
      <c r="A209" s="93"/>
      <c r="B209" s="65" t="s">
        <v>7</v>
      </c>
      <c r="C209" s="112">
        <f>SUM(D209:J209)</f>
        <v>700</v>
      </c>
      <c r="D209" s="96"/>
      <c r="E209" s="96">
        <v>700</v>
      </c>
      <c r="F209" s="97"/>
      <c r="G209" s="97"/>
      <c r="H209" s="97"/>
      <c r="I209" s="97"/>
      <c r="J209" s="97"/>
      <c r="K209" s="114"/>
    </row>
    <row r="210" spans="1:11" s="7" customFormat="1" ht="15" customHeight="1">
      <c r="A210" s="93"/>
      <c r="B210" s="65" t="s">
        <v>8</v>
      </c>
      <c r="C210" s="112">
        <f>SUM(D210:J210)</f>
        <v>1396</v>
      </c>
      <c r="D210" s="96"/>
      <c r="E210" s="96">
        <v>1396</v>
      </c>
      <c r="F210" s="97"/>
      <c r="G210" s="97"/>
      <c r="H210" s="97"/>
      <c r="I210" s="97"/>
      <c r="J210" s="97"/>
      <c r="K210" s="114"/>
    </row>
    <row r="211" spans="1:11" s="7" customFormat="1" ht="15" customHeight="1">
      <c r="A211" s="93"/>
      <c r="B211" s="66" t="s">
        <v>9</v>
      </c>
      <c r="C211" s="112">
        <f>SUM(D211:J211)</f>
        <v>598.4</v>
      </c>
      <c r="D211" s="96"/>
      <c r="E211" s="96">
        <v>598.4</v>
      </c>
      <c r="F211" s="97"/>
      <c r="G211" s="97"/>
      <c r="H211" s="97"/>
      <c r="I211" s="97"/>
      <c r="J211" s="97"/>
      <c r="K211" s="114"/>
    </row>
    <row r="212" spans="1:11" s="13" customFormat="1" ht="15" customHeight="1">
      <c r="A212" s="121"/>
      <c r="B212" s="66" t="s">
        <v>19</v>
      </c>
      <c r="C212" s="120"/>
      <c r="D212" s="117"/>
      <c r="E212" s="117"/>
      <c r="F212" s="118"/>
      <c r="G212" s="118"/>
      <c r="H212" s="118"/>
      <c r="I212" s="118"/>
      <c r="J212" s="118"/>
      <c r="K212" s="115"/>
    </row>
    <row r="213" spans="1:11" s="7" customFormat="1" ht="15" customHeight="1">
      <c r="A213" s="111"/>
      <c r="B213" s="65" t="s">
        <v>31</v>
      </c>
      <c r="C213" s="112">
        <f>SUM(D213:J213)</f>
        <v>1347.2</v>
      </c>
      <c r="D213" s="96"/>
      <c r="E213" s="96">
        <f>350+997.2</f>
        <v>1347.2</v>
      </c>
      <c r="F213" s="97"/>
      <c r="G213" s="97"/>
      <c r="H213" s="97"/>
      <c r="I213" s="97"/>
      <c r="J213" s="97"/>
      <c r="K213" s="114"/>
    </row>
    <row r="214" spans="1:11" s="7" customFormat="1" ht="15" customHeight="1">
      <c r="A214" s="111"/>
      <c r="B214" s="65" t="s">
        <v>65</v>
      </c>
      <c r="C214" s="112">
        <f>SUM(D214:J214)</f>
        <v>1347.2</v>
      </c>
      <c r="D214" s="96"/>
      <c r="E214" s="96">
        <f>350+997.2</f>
        <v>1347.2</v>
      </c>
      <c r="F214" s="97"/>
      <c r="G214" s="97"/>
      <c r="H214" s="97"/>
      <c r="I214" s="97"/>
      <c r="J214" s="97"/>
      <c r="K214" s="114"/>
    </row>
    <row r="215" spans="1:11" s="5" customFormat="1" ht="15" customHeight="1">
      <c r="A215" s="111"/>
      <c r="B215" s="65"/>
      <c r="C215" s="112"/>
      <c r="D215" s="96"/>
      <c r="E215" s="96"/>
      <c r="F215" s="97"/>
      <c r="G215" s="97"/>
      <c r="H215" s="97"/>
      <c r="I215" s="97"/>
      <c r="J215" s="97"/>
      <c r="K215" s="114"/>
    </row>
    <row r="216" spans="1:11" s="53" customFormat="1" ht="75.75" customHeight="1">
      <c r="A216" s="93"/>
      <c r="B216" s="71" t="s">
        <v>134</v>
      </c>
      <c r="C216" s="97">
        <f>SUM(C217)</f>
        <v>1379879.9</v>
      </c>
      <c r="D216" s="96">
        <f>SUM(D217)</f>
        <v>166082</v>
      </c>
      <c r="E216" s="96">
        <f aca="true" t="shared" si="76" ref="E216:J216">SUM(E217)</f>
        <v>175796</v>
      </c>
      <c r="F216" s="97">
        <f t="shared" si="76"/>
        <v>213294.2</v>
      </c>
      <c r="G216" s="97">
        <f t="shared" si="76"/>
        <v>212188.7</v>
      </c>
      <c r="H216" s="97">
        <f t="shared" si="76"/>
        <v>204173</v>
      </c>
      <c r="I216" s="97">
        <f t="shared" si="76"/>
        <v>204173</v>
      </c>
      <c r="J216" s="97">
        <f t="shared" si="76"/>
        <v>204173</v>
      </c>
      <c r="K216" s="114" t="s">
        <v>180</v>
      </c>
    </row>
    <row r="217" spans="1:11" s="7" customFormat="1" ht="15" customHeight="1">
      <c r="A217" s="111"/>
      <c r="B217" s="65" t="s">
        <v>9</v>
      </c>
      <c r="C217" s="112">
        <f>SUM(D217:J217)</f>
        <v>1379879.9</v>
      </c>
      <c r="D217" s="96">
        <f>176507-9304-1121</f>
        <v>166082</v>
      </c>
      <c r="E217" s="96">
        <f>189957-14161</f>
        <v>175796</v>
      </c>
      <c r="F217" s="97">
        <f>209687+1225.2+2382</f>
        <v>213294.2</v>
      </c>
      <c r="G217" s="97">
        <f>212118+172.7-102</f>
        <v>212188.7</v>
      </c>
      <c r="H217" s="97">
        <v>204173</v>
      </c>
      <c r="I217" s="97">
        <v>204173</v>
      </c>
      <c r="J217" s="97">
        <v>204173</v>
      </c>
      <c r="K217" s="114"/>
    </row>
    <row r="218" spans="1:11" s="5" customFormat="1" ht="15" customHeight="1">
      <c r="A218" s="111"/>
      <c r="B218" s="65"/>
      <c r="C218" s="112"/>
      <c r="D218" s="96"/>
      <c r="E218" s="96"/>
      <c r="F218" s="97"/>
      <c r="G218" s="97"/>
      <c r="H218" s="97"/>
      <c r="I218" s="97"/>
      <c r="J218" s="97"/>
      <c r="K218" s="114"/>
    </row>
    <row r="219" spans="1:11" s="53" customFormat="1" ht="79.5" customHeight="1">
      <c r="A219" s="111"/>
      <c r="B219" s="69" t="s">
        <v>139</v>
      </c>
      <c r="C219" s="97">
        <f>SUM(C220:C221)</f>
        <v>503402.24376000004</v>
      </c>
      <c r="D219" s="96">
        <f>SUM(D220:D221)</f>
        <v>94139.759</v>
      </c>
      <c r="E219" s="96">
        <f aca="true" t="shared" si="77" ref="E219:J219">SUM(E220:E221)</f>
        <v>92123.91500000001</v>
      </c>
      <c r="F219" s="97">
        <f t="shared" si="77"/>
        <v>57457.70059000001</v>
      </c>
      <c r="G219" s="97">
        <f t="shared" si="77"/>
        <v>62995.869170000005</v>
      </c>
      <c r="H219" s="97">
        <f t="shared" si="77"/>
        <v>64529.6</v>
      </c>
      <c r="I219" s="97">
        <f t="shared" si="77"/>
        <v>66077.7</v>
      </c>
      <c r="J219" s="97">
        <f t="shared" si="77"/>
        <v>66077.7</v>
      </c>
      <c r="K219" s="114" t="s">
        <v>181</v>
      </c>
    </row>
    <row r="220" spans="1:11" s="7" customFormat="1" ht="15" customHeight="1">
      <c r="A220" s="111"/>
      <c r="B220" s="66" t="s">
        <v>7</v>
      </c>
      <c r="C220" s="112">
        <f>SUM(D220:J220)</f>
        <v>494202.24376000004</v>
      </c>
      <c r="D220" s="96">
        <v>94139.759</v>
      </c>
      <c r="E220" s="96">
        <f>94122+200-996.9-482.3-0.1+0.012-718.798+0.001</f>
        <v>92123.91500000001</v>
      </c>
      <c r="F220" s="97">
        <f>48887+4500+5658.385-1600+100-172-0.001+84.31659</f>
        <v>57457.70059000001</v>
      </c>
      <c r="G220" s="97">
        <f>58800+124.359+477.17513-124.359+360+800+58.69404+200</f>
        <v>60695.869170000005</v>
      </c>
      <c r="H220" s="97">
        <v>62229.6</v>
      </c>
      <c r="I220" s="97">
        <v>63777.7</v>
      </c>
      <c r="J220" s="97">
        <v>63777.7</v>
      </c>
      <c r="K220" s="114"/>
    </row>
    <row r="221" spans="1:11" s="7" customFormat="1" ht="15" customHeight="1">
      <c r="A221" s="111"/>
      <c r="B221" s="66" t="s">
        <v>10</v>
      </c>
      <c r="C221" s="112">
        <f>SUM(D221:J221)</f>
        <v>9200</v>
      </c>
      <c r="D221" s="96"/>
      <c r="E221" s="96"/>
      <c r="F221" s="97"/>
      <c r="G221" s="97">
        <v>2300</v>
      </c>
      <c r="H221" s="97">
        <v>2300</v>
      </c>
      <c r="I221" s="97">
        <v>2300</v>
      </c>
      <c r="J221" s="97">
        <v>2300</v>
      </c>
      <c r="K221" s="114"/>
    </row>
    <row r="222" spans="1:11" s="5" customFormat="1" ht="15" customHeight="1">
      <c r="A222" s="111"/>
      <c r="B222" s="66"/>
      <c r="C222" s="112"/>
      <c r="D222" s="116"/>
      <c r="E222" s="116"/>
      <c r="F222" s="112"/>
      <c r="G222" s="112"/>
      <c r="H222" s="112"/>
      <c r="I222" s="112"/>
      <c r="J222" s="112"/>
      <c r="K222" s="114"/>
    </row>
    <row r="223" spans="1:11" s="7" customFormat="1" ht="66.75" customHeight="1">
      <c r="A223" s="93"/>
      <c r="B223" s="65" t="s">
        <v>135</v>
      </c>
      <c r="C223" s="112">
        <f>SUM(C224:C225)</f>
        <v>258130.61</v>
      </c>
      <c r="D223" s="116">
        <f>SUM(D224+D225+D229)</f>
        <v>66531.448</v>
      </c>
      <c r="E223" s="116">
        <f aca="true" t="shared" si="78" ref="E223:J223">SUM(E224+E225+E229)</f>
        <v>30574.17</v>
      </c>
      <c r="F223" s="112">
        <f t="shared" si="78"/>
        <v>31925</v>
      </c>
      <c r="G223" s="112">
        <f>SUM(G224+G225+G229)</f>
        <v>36835.892</v>
      </c>
      <c r="H223" s="112">
        <f t="shared" si="78"/>
        <v>33979.8</v>
      </c>
      <c r="I223" s="112">
        <f t="shared" si="78"/>
        <v>34061.7</v>
      </c>
      <c r="J223" s="112">
        <f t="shared" si="78"/>
        <v>33720</v>
      </c>
      <c r="K223" s="114" t="s">
        <v>182</v>
      </c>
    </row>
    <row r="224" spans="1:11" s="7" customFormat="1" ht="15" customHeight="1">
      <c r="A224" s="93"/>
      <c r="B224" s="66" t="s">
        <v>7</v>
      </c>
      <c r="C224" s="112">
        <f>SUM(D224:J224)</f>
        <v>255411.81</v>
      </c>
      <c r="D224" s="96">
        <f aca="true" t="shared" si="79" ref="D224:J224">SUM(D227:D228)-D225</f>
        <v>62334.048</v>
      </c>
      <c r="E224" s="96">
        <f t="shared" si="79"/>
        <v>30574.17</v>
      </c>
      <c r="F224" s="97">
        <f t="shared" si="79"/>
        <v>30225</v>
      </c>
      <c r="G224" s="97">
        <f t="shared" si="79"/>
        <v>33217.092</v>
      </c>
      <c r="H224" s="97">
        <f t="shared" si="79"/>
        <v>33079.8</v>
      </c>
      <c r="I224" s="97">
        <f t="shared" si="79"/>
        <v>33161.7</v>
      </c>
      <c r="J224" s="97">
        <f t="shared" si="79"/>
        <v>32820</v>
      </c>
      <c r="K224" s="114"/>
    </row>
    <row r="225" spans="1:11" s="7" customFormat="1" ht="15" customHeight="1">
      <c r="A225" s="111"/>
      <c r="B225" s="66" t="s">
        <v>9</v>
      </c>
      <c r="C225" s="112">
        <f>SUM(D225:J225)</f>
        <v>2718.8</v>
      </c>
      <c r="D225" s="96"/>
      <c r="E225" s="96"/>
      <c r="F225" s="97"/>
      <c r="G225" s="97">
        <f>2718.8</f>
        <v>2718.8</v>
      </c>
      <c r="H225" s="97"/>
      <c r="I225" s="97"/>
      <c r="J225" s="97"/>
      <c r="K225" s="114"/>
    </row>
    <row r="226" spans="1:11" s="13" customFormat="1" ht="15" customHeight="1">
      <c r="A226" s="121"/>
      <c r="B226" s="66" t="s">
        <v>22</v>
      </c>
      <c r="C226" s="120"/>
      <c r="D226" s="117"/>
      <c r="E226" s="117"/>
      <c r="F226" s="118"/>
      <c r="G226" s="118"/>
      <c r="H226" s="118"/>
      <c r="I226" s="118"/>
      <c r="J226" s="118"/>
      <c r="K226" s="115"/>
    </row>
    <row r="227" spans="1:11" s="7" customFormat="1" ht="15.75">
      <c r="A227" s="111"/>
      <c r="B227" s="74" t="s">
        <v>21</v>
      </c>
      <c r="C227" s="112">
        <f>SUM(D227:J227)</f>
        <v>225106.962</v>
      </c>
      <c r="D227" s="96">
        <f>29310.4+D225</f>
        <v>29310.4</v>
      </c>
      <c r="E227" s="96">
        <f>29445-213-39.43+300+1081.6+E225</f>
        <v>30574.17</v>
      </c>
      <c r="F227" s="97">
        <f>28404+800+376+645+F225</f>
        <v>30225</v>
      </c>
      <c r="G227" s="97">
        <f>31200+800+400+100+663.392+53.7+G225</f>
        <v>35935.892</v>
      </c>
      <c r="H227" s="97">
        <f>32279.8+800+H225</f>
        <v>33079.8</v>
      </c>
      <c r="I227" s="97">
        <f>32361.7+800+I225</f>
        <v>33161.7</v>
      </c>
      <c r="J227" s="97">
        <f>32020+800+J225</f>
        <v>32820</v>
      </c>
      <c r="K227" s="114"/>
    </row>
    <row r="228" spans="1:11" s="7" customFormat="1" ht="37.5" customHeight="1">
      <c r="A228" s="111"/>
      <c r="B228" s="75" t="s">
        <v>18</v>
      </c>
      <c r="C228" s="112">
        <f>SUM(D228:J228)</f>
        <v>33023.648</v>
      </c>
      <c r="D228" s="96">
        <v>33023.648</v>
      </c>
      <c r="E228" s="96">
        <v>0</v>
      </c>
      <c r="F228" s="97">
        <v>0</v>
      </c>
      <c r="G228" s="97">
        <v>0</v>
      </c>
      <c r="H228" s="97">
        <v>0</v>
      </c>
      <c r="I228" s="97">
        <v>0</v>
      </c>
      <c r="J228" s="97">
        <v>0</v>
      </c>
      <c r="K228" s="114"/>
    </row>
    <row r="229" spans="1:11" s="7" customFormat="1" ht="15" customHeight="1">
      <c r="A229" s="111"/>
      <c r="B229" s="65" t="s">
        <v>10</v>
      </c>
      <c r="C229" s="112">
        <f>SUM(D229:J229)</f>
        <v>9497.4</v>
      </c>
      <c r="D229" s="96">
        <v>4197.4</v>
      </c>
      <c r="E229" s="96">
        <v>0</v>
      </c>
      <c r="F229" s="97">
        <v>1700</v>
      </c>
      <c r="G229" s="97">
        <v>900</v>
      </c>
      <c r="H229" s="97">
        <v>900</v>
      </c>
      <c r="I229" s="97">
        <v>900</v>
      </c>
      <c r="J229" s="97">
        <v>900</v>
      </c>
      <c r="K229" s="114"/>
    </row>
    <row r="230" spans="1:11" s="5" customFormat="1" ht="15" customHeight="1">
      <c r="A230" s="111"/>
      <c r="B230" s="65"/>
      <c r="C230" s="112"/>
      <c r="D230" s="116"/>
      <c r="E230" s="116"/>
      <c r="F230" s="112"/>
      <c r="G230" s="112"/>
      <c r="H230" s="112"/>
      <c r="I230" s="112"/>
      <c r="J230" s="112"/>
      <c r="K230" s="114"/>
    </row>
    <row r="231" spans="1:11" s="7" customFormat="1" ht="69" customHeight="1">
      <c r="A231" s="93"/>
      <c r="B231" s="65" t="s">
        <v>136</v>
      </c>
      <c r="C231" s="112">
        <f>SUM(D231:J231)</f>
        <v>3124.8</v>
      </c>
      <c r="D231" s="116">
        <f>SUM(D232)</f>
        <v>3124.8</v>
      </c>
      <c r="E231" s="116">
        <f aca="true" t="shared" si="80" ref="E231:J231">SUM(E232)</f>
        <v>0</v>
      </c>
      <c r="F231" s="112">
        <f t="shared" si="80"/>
        <v>0</v>
      </c>
      <c r="G231" s="112">
        <f t="shared" si="80"/>
        <v>0</v>
      </c>
      <c r="H231" s="112">
        <f t="shared" si="80"/>
        <v>0</v>
      </c>
      <c r="I231" s="112">
        <f t="shared" si="80"/>
        <v>0</v>
      </c>
      <c r="J231" s="112">
        <f t="shared" si="80"/>
        <v>0</v>
      </c>
      <c r="K231" s="114" t="s">
        <v>157</v>
      </c>
    </row>
    <row r="232" spans="1:11" s="7" customFormat="1" ht="15" customHeight="1">
      <c r="A232" s="93"/>
      <c r="B232" s="66" t="s">
        <v>9</v>
      </c>
      <c r="C232" s="112">
        <f>SUM(D232:J232)</f>
        <v>3124.8</v>
      </c>
      <c r="D232" s="96">
        <f>SUM(D234)</f>
        <v>3124.8</v>
      </c>
      <c r="E232" s="96">
        <f aca="true" t="shared" si="81" ref="E232:J232">SUM(E234)</f>
        <v>0</v>
      </c>
      <c r="F232" s="97">
        <f t="shared" si="81"/>
        <v>0</v>
      </c>
      <c r="G232" s="97">
        <f t="shared" si="81"/>
        <v>0</v>
      </c>
      <c r="H232" s="97">
        <f t="shared" si="81"/>
        <v>0</v>
      </c>
      <c r="I232" s="97">
        <f t="shared" si="81"/>
        <v>0</v>
      </c>
      <c r="J232" s="97">
        <f t="shared" si="81"/>
        <v>0</v>
      </c>
      <c r="K232" s="114"/>
    </row>
    <row r="233" spans="1:11" s="13" customFormat="1" ht="15" customHeight="1">
      <c r="A233" s="121"/>
      <c r="B233" s="66" t="s">
        <v>22</v>
      </c>
      <c r="C233" s="120"/>
      <c r="D233" s="117"/>
      <c r="E233" s="117"/>
      <c r="F233" s="118"/>
      <c r="G233" s="118"/>
      <c r="H233" s="118"/>
      <c r="I233" s="118"/>
      <c r="J233" s="118"/>
      <c r="K233" s="115"/>
    </row>
    <row r="234" spans="1:11" s="7" customFormat="1" ht="33.75" customHeight="1">
      <c r="A234" s="111"/>
      <c r="B234" s="75" t="s">
        <v>18</v>
      </c>
      <c r="C234" s="112">
        <f>SUM(D234:J234)</f>
        <v>3124.8</v>
      </c>
      <c r="D234" s="96">
        <v>3124.8</v>
      </c>
      <c r="E234" s="96"/>
      <c r="F234" s="97"/>
      <c r="G234" s="97"/>
      <c r="H234" s="97"/>
      <c r="I234" s="97"/>
      <c r="J234" s="97"/>
      <c r="K234" s="114"/>
    </row>
    <row r="235" spans="1:11" s="7" customFormat="1" ht="15.75">
      <c r="A235" s="111"/>
      <c r="B235" s="75"/>
      <c r="C235" s="112"/>
      <c r="D235" s="96"/>
      <c r="E235" s="96"/>
      <c r="F235" s="97"/>
      <c r="G235" s="97"/>
      <c r="H235" s="97"/>
      <c r="I235" s="97"/>
      <c r="J235" s="97"/>
      <c r="K235" s="114"/>
    </row>
    <row r="236" spans="1:11" s="7" customFormat="1" ht="63.75" customHeight="1">
      <c r="A236" s="111"/>
      <c r="B236" s="65" t="s">
        <v>137</v>
      </c>
      <c r="C236" s="97">
        <f aca="true" t="shared" si="82" ref="C236:J236">SUM(C237)</f>
        <v>25528</v>
      </c>
      <c r="D236" s="96">
        <f t="shared" si="82"/>
        <v>25528</v>
      </c>
      <c r="E236" s="96">
        <f t="shared" si="82"/>
        <v>0</v>
      </c>
      <c r="F236" s="97">
        <f t="shared" si="82"/>
        <v>0</v>
      </c>
      <c r="G236" s="97">
        <f t="shared" si="82"/>
        <v>0</v>
      </c>
      <c r="H236" s="97">
        <f t="shared" si="82"/>
        <v>0</v>
      </c>
      <c r="I236" s="97">
        <f t="shared" si="82"/>
        <v>0</v>
      </c>
      <c r="J236" s="97">
        <f t="shared" si="82"/>
        <v>0</v>
      </c>
      <c r="K236" s="114" t="s">
        <v>163</v>
      </c>
    </row>
    <row r="237" spans="1:11" s="7" customFormat="1" ht="16.5" customHeight="1">
      <c r="A237" s="111"/>
      <c r="B237" s="65" t="s">
        <v>9</v>
      </c>
      <c r="C237" s="112">
        <f>SUM(D237:J237)</f>
        <v>25528</v>
      </c>
      <c r="D237" s="96">
        <f>27460-1932</f>
        <v>25528</v>
      </c>
      <c r="E237" s="96">
        <v>0</v>
      </c>
      <c r="F237" s="97">
        <v>0</v>
      </c>
      <c r="G237" s="97">
        <v>0</v>
      </c>
      <c r="H237" s="97">
        <v>0</v>
      </c>
      <c r="I237" s="97">
        <v>0</v>
      </c>
      <c r="J237" s="97">
        <v>0</v>
      </c>
      <c r="K237" s="114"/>
    </row>
    <row r="238" spans="1:11" s="7" customFormat="1" ht="16.5" customHeight="1">
      <c r="A238" s="111"/>
      <c r="B238" s="65"/>
      <c r="C238" s="112"/>
      <c r="D238" s="96"/>
      <c r="E238" s="96"/>
      <c r="F238" s="97"/>
      <c r="G238" s="97"/>
      <c r="H238" s="97"/>
      <c r="I238" s="97"/>
      <c r="J238" s="97"/>
      <c r="K238" s="114"/>
    </row>
    <row r="239" spans="1:11" s="5" customFormat="1" ht="66.75" customHeight="1">
      <c r="A239" s="111"/>
      <c r="B239" s="65" t="s">
        <v>138</v>
      </c>
      <c r="C239" s="97">
        <f>SUM(D239:J239)</f>
        <v>4419.716</v>
      </c>
      <c r="D239" s="96">
        <f>SUM(D240:D242)</f>
        <v>1155.675</v>
      </c>
      <c r="E239" s="96">
        <f aca="true" t="shared" si="83" ref="E239:J239">SUM(E240:E242)</f>
        <v>1708.2510000000002</v>
      </c>
      <c r="F239" s="97">
        <f t="shared" si="83"/>
        <v>0</v>
      </c>
      <c r="G239" s="97">
        <f t="shared" si="83"/>
        <v>1555.79</v>
      </c>
      <c r="H239" s="97">
        <f t="shared" si="83"/>
        <v>0</v>
      </c>
      <c r="I239" s="97">
        <f t="shared" si="83"/>
        <v>0</v>
      </c>
      <c r="J239" s="97">
        <f t="shared" si="83"/>
        <v>0</v>
      </c>
      <c r="K239" s="114" t="s">
        <v>158</v>
      </c>
    </row>
    <row r="240" spans="1:11" s="5" customFormat="1" ht="15" customHeight="1">
      <c r="A240" s="111"/>
      <c r="B240" s="65" t="s">
        <v>7</v>
      </c>
      <c r="C240" s="112">
        <f>SUM(D240:J240)</f>
        <v>450</v>
      </c>
      <c r="D240" s="96">
        <f>SUM(D244)</f>
        <v>0</v>
      </c>
      <c r="E240" s="96">
        <f aca="true" t="shared" si="84" ref="E240:J240">SUM(E244)</f>
        <v>150</v>
      </c>
      <c r="F240" s="97">
        <f t="shared" si="84"/>
        <v>0</v>
      </c>
      <c r="G240" s="97">
        <f t="shared" si="84"/>
        <v>300</v>
      </c>
      <c r="H240" s="97">
        <f t="shared" si="84"/>
        <v>0</v>
      </c>
      <c r="I240" s="97">
        <f t="shared" si="84"/>
        <v>0</v>
      </c>
      <c r="J240" s="97">
        <f t="shared" si="84"/>
        <v>0</v>
      </c>
      <c r="K240" s="114"/>
    </row>
    <row r="241" spans="1:11" s="5" customFormat="1" ht="15" customHeight="1">
      <c r="A241" s="111"/>
      <c r="B241" s="65" t="s">
        <v>9</v>
      </c>
      <c r="C241" s="112">
        <f aca="true" t="shared" si="85" ref="C241:C248">SUM(D241:J241)</f>
        <v>512.82</v>
      </c>
      <c r="D241" s="96">
        <f>SUM(D245)</f>
        <v>0</v>
      </c>
      <c r="E241" s="96">
        <f aca="true" t="shared" si="86" ref="E241:J241">SUM(E245)</f>
        <v>512.82</v>
      </c>
      <c r="F241" s="97">
        <f t="shared" si="86"/>
        <v>0</v>
      </c>
      <c r="G241" s="97">
        <f t="shared" si="86"/>
        <v>0</v>
      </c>
      <c r="H241" s="97">
        <f t="shared" si="86"/>
        <v>0</v>
      </c>
      <c r="I241" s="97">
        <f t="shared" si="86"/>
        <v>0</v>
      </c>
      <c r="J241" s="97">
        <f t="shared" si="86"/>
        <v>0</v>
      </c>
      <c r="K241" s="114"/>
    </row>
    <row r="242" spans="1:11" s="5" customFormat="1" ht="15" customHeight="1">
      <c r="A242" s="111"/>
      <c r="B242" s="65" t="s">
        <v>8</v>
      </c>
      <c r="C242" s="112">
        <f t="shared" si="85"/>
        <v>3456.8959999999997</v>
      </c>
      <c r="D242" s="96">
        <f aca="true" t="shared" si="87" ref="D242:J242">SUM(D246+D248)</f>
        <v>1155.675</v>
      </c>
      <c r="E242" s="96">
        <f t="shared" si="87"/>
        <v>1045.431</v>
      </c>
      <c r="F242" s="97">
        <f t="shared" si="87"/>
        <v>0</v>
      </c>
      <c r="G242" s="97">
        <f t="shared" si="87"/>
        <v>1255.79</v>
      </c>
      <c r="H242" s="97">
        <f t="shared" si="87"/>
        <v>0</v>
      </c>
      <c r="I242" s="97">
        <f t="shared" si="87"/>
        <v>0</v>
      </c>
      <c r="J242" s="97">
        <f t="shared" si="87"/>
        <v>0</v>
      </c>
      <c r="K242" s="114"/>
    </row>
    <row r="243" spans="1:11" s="5" customFormat="1" ht="15" customHeight="1">
      <c r="A243" s="93"/>
      <c r="B243" s="68" t="s">
        <v>87</v>
      </c>
      <c r="C243" s="97"/>
      <c r="D243" s="96"/>
      <c r="E243" s="96"/>
      <c r="F243" s="97"/>
      <c r="G243" s="97"/>
      <c r="H243" s="97"/>
      <c r="I243" s="97"/>
      <c r="J243" s="97"/>
      <c r="K243" s="114"/>
    </row>
    <row r="244" spans="1:11" s="5" customFormat="1" ht="15" customHeight="1">
      <c r="A244" s="93"/>
      <c r="B244" s="65" t="s">
        <v>7</v>
      </c>
      <c r="C244" s="112">
        <f t="shared" si="85"/>
        <v>450</v>
      </c>
      <c r="D244" s="96"/>
      <c r="E244" s="96">
        <v>150</v>
      </c>
      <c r="F244" s="97"/>
      <c r="G244" s="97">
        <v>300</v>
      </c>
      <c r="H244" s="97"/>
      <c r="I244" s="97"/>
      <c r="J244" s="97"/>
      <c r="K244" s="114"/>
    </row>
    <row r="245" spans="1:11" s="5" customFormat="1" ht="15" customHeight="1">
      <c r="A245" s="93"/>
      <c r="B245" s="65" t="s">
        <v>9</v>
      </c>
      <c r="C245" s="112">
        <f t="shared" si="85"/>
        <v>512.82</v>
      </c>
      <c r="D245" s="96"/>
      <c r="E245" s="96">
        <v>512.82</v>
      </c>
      <c r="F245" s="97"/>
      <c r="G245" s="97"/>
      <c r="H245" s="97"/>
      <c r="I245" s="97"/>
      <c r="J245" s="97"/>
      <c r="K245" s="114"/>
    </row>
    <row r="246" spans="1:11" s="5" customFormat="1" ht="15" customHeight="1">
      <c r="A246" s="93"/>
      <c r="B246" s="65" t="s">
        <v>8</v>
      </c>
      <c r="C246" s="112">
        <f t="shared" si="85"/>
        <v>2956.8959999999997</v>
      </c>
      <c r="D246" s="96">
        <v>1155.675</v>
      </c>
      <c r="E246" s="96">
        <v>545.431</v>
      </c>
      <c r="F246" s="97"/>
      <c r="G246" s="97">
        <f>740.74+655.41-140.36</f>
        <v>1255.79</v>
      </c>
      <c r="H246" s="97"/>
      <c r="I246" s="97"/>
      <c r="J246" s="97"/>
      <c r="K246" s="114"/>
    </row>
    <row r="247" spans="1:11" s="5" customFormat="1" ht="15" customHeight="1">
      <c r="A247" s="93"/>
      <c r="B247" s="68" t="s">
        <v>88</v>
      </c>
      <c r="C247" s="97"/>
      <c r="D247" s="96"/>
      <c r="E247" s="96"/>
      <c r="F247" s="97"/>
      <c r="G247" s="97"/>
      <c r="H247" s="97"/>
      <c r="I247" s="97"/>
      <c r="J247" s="97"/>
      <c r="K247" s="114"/>
    </row>
    <row r="248" spans="1:11" s="5" customFormat="1" ht="15" customHeight="1">
      <c r="A248" s="93"/>
      <c r="B248" s="65" t="s">
        <v>8</v>
      </c>
      <c r="C248" s="112">
        <f t="shared" si="85"/>
        <v>500</v>
      </c>
      <c r="D248" s="96"/>
      <c r="E248" s="96">
        <v>500</v>
      </c>
      <c r="F248" s="97"/>
      <c r="G248" s="97"/>
      <c r="H248" s="97"/>
      <c r="I248" s="97"/>
      <c r="J248" s="97"/>
      <c r="K248" s="114"/>
    </row>
    <row r="249" spans="1:11" s="5" customFormat="1" ht="15" customHeight="1">
      <c r="A249" s="93"/>
      <c r="B249" s="65"/>
      <c r="C249" s="112"/>
      <c r="D249" s="96"/>
      <c r="E249" s="96"/>
      <c r="F249" s="97"/>
      <c r="G249" s="97"/>
      <c r="H249" s="97"/>
      <c r="I249" s="97"/>
      <c r="J249" s="97"/>
      <c r="K249" s="114"/>
    </row>
    <row r="250" spans="1:11" s="5" customFormat="1" ht="66" customHeight="1">
      <c r="A250" s="111"/>
      <c r="B250" s="65" t="s">
        <v>152</v>
      </c>
      <c r="C250" s="97">
        <f>SUM(D250:J250)</f>
        <v>652.98966</v>
      </c>
      <c r="D250" s="96">
        <f>SUM(D251:D252)</f>
        <v>0</v>
      </c>
      <c r="E250" s="96">
        <f aca="true" t="shared" si="88" ref="E250:J250">SUM(E251:E252)</f>
        <v>0</v>
      </c>
      <c r="F250" s="97">
        <f t="shared" si="88"/>
        <v>652.98966</v>
      </c>
      <c r="G250" s="97">
        <f t="shared" si="88"/>
        <v>0</v>
      </c>
      <c r="H250" s="97">
        <f t="shared" si="88"/>
        <v>0</v>
      </c>
      <c r="I250" s="97">
        <f t="shared" si="88"/>
        <v>0</v>
      </c>
      <c r="J250" s="97">
        <f t="shared" si="88"/>
        <v>0</v>
      </c>
      <c r="K250" s="114" t="s">
        <v>158</v>
      </c>
    </row>
    <row r="251" spans="1:11" s="5" customFormat="1" ht="15" customHeight="1">
      <c r="A251" s="111"/>
      <c r="B251" s="65" t="s">
        <v>7</v>
      </c>
      <c r="C251" s="112">
        <f>SUM(D251:J251)</f>
        <v>652.98966</v>
      </c>
      <c r="D251" s="96"/>
      <c r="E251" s="96"/>
      <c r="F251" s="97">
        <f>186.98966+500-34</f>
        <v>652.98966</v>
      </c>
      <c r="G251" s="97"/>
      <c r="H251" s="97"/>
      <c r="I251" s="97"/>
      <c r="J251" s="97"/>
      <c r="K251" s="114"/>
    </row>
    <row r="252" spans="1:11" s="5" customFormat="1" ht="15" customHeight="1">
      <c r="A252" s="111"/>
      <c r="B252" s="65" t="s">
        <v>9</v>
      </c>
      <c r="C252" s="112">
        <f>SUM(D252:J252)</f>
        <v>0</v>
      </c>
      <c r="D252" s="96"/>
      <c r="E252" s="96"/>
      <c r="F252" s="97"/>
      <c r="G252" s="97"/>
      <c r="H252" s="97"/>
      <c r="I252" s="97"/>
      <c r="J252" s="97"/>
      <c r="K252" s="114"/>
    </row>
    <row r="253" spans="1:11" s="5" customFormat="1" ht="15" customHeight="1">
      <c r="A253" s="111"/>
      <c r="B253" s="65"/>
      <c r="C253" s="112"/>
      <c r="D253" s="96"/>
      <c r="E253" s="96"/>
      <c r="F253" s="97"/>
      <c r="G253" s="97"/>
      <c r="H253" s="97"/>
      <c r="I253" s="97"/>
      <c r="J253" s="97"/>
      <c r="K253" s="114"/>
    </row>
    <row r="254" spans="1:11" s="5" customFormat="1" ht="53.25" customHeight="1">
      <c r="A254" s="111"/>
      <c r="B254" s="65" t="s">
        <v>153</v>
      </c>
      <c r="C254" s="97">
        <f>SUM(D254:J254)</f>
        <v>21791.553</v>
      </c>
      <c r="D254" s="96">
        <f>SUM(D255:D257)</f>
        <v>0</v>
      </c>
      <c r="E254" s="96">
        <f aca="true" t="shared" si="89" ref="E254:J254">SUM(E255:E257)</f>
        <v>0</v>
      </c>
      <c r="F254" s="97">
        <f>SUM(F255:F257)</f>
        <v>21791.553</v>
      </c>
      <c r="G254" s="97">
        <f t="shared" si="89"/>
        <v>0</v>
      </c>
      <c r="H254" s="97">
        <f t="shared" si="89"/>
        <v>0</v>
      </c>
      <c r="I254" s="97">
        <f t="shared" si="89"/>
        <v>0</v>
      </c>
      <c r="J254" s="97">
        <f t="shared" si="89"/>
        <v>0</v>
      </c>
      <c r="K254" s="114" t="s">
        <v>158</v>
      </c>
    </row>
    <row r="255" spans="1:11" s="5" customFormat="1" ht="31.5" customHeight="1">
      <c r="A255" s="111"/>
      <c r="B255" s="65" t="s">
        <v>175</v>
      </c>
      <c r="C255" s="112">
        <f>SUM(D255:J255)</f>
        <v>400</v>
      </c>
      <c r="D255" s="96"/>
      <c r="E255" s="96"/>
      <c r="F255" s="97">
        <f>400</f>
        <v>400</v>
      </c>
      <c r="G255" s="97"/>
      <c r="H255" s="97"/>
      <c r="I255" s="97"/>
      <c r="J255" s="97"/>
      <c r="K255" s="114"/>
    </row>
    <row r="256" spans="1:11" s="5" customFormat="1" ht="15" customHeight="1">
      <c r="A256" s="111" t="s">
        <v>226</v>
      </c>
      <c r="B256" s="65" t="s">
        <v>7</v>
      </c>
      <c r="C256" s="112">
        <f>SUM(D256:J256)</f>
        <v>7572.653</v>
      </c>
      <c r="D256" s="96"/>
      <c r="E256" s="96"/>
      <c r="F256" s="97">
        <f>7572.653</f>
        <v>7572.653</v>
      </c>
      <c r="G256" s="97"/>
      <c r="H256" s="97"/>
      <c r="I256" s="97"/>
      <c r="J256" s="97"/>
      <c r="K256" s="114"/>
    </row>
    <row r="257" spans="1:11" s="5" customFormat="1" ht="15" customHeight="1">
      <c r="A257" s="111" t="s">
        <v>227</v>
      </c>
      <c r="B257" s="65" t="s">
        <v>9</v>
      </c>
      <c r="C257" s="112">
        <f>SUM(D257:J257)</f>
        <v>13818.9</v>
      </c>
      <c r="D257" s="96"/>
      <c r="E257" s="96"/>
      <c r="F257" s="97">
        <f>13818.9</f>
        <v>13818.9</v>
      </c>
      <c r="G257" s="97"/>
      <c r="H257" s="97"/>
      <c r="I257" s="97"/>
      <c r="J257" s="97"/>
      <c r="K257" s="114"/>
    </row>
    <row r="258" spans="1:11" s="5" customFormat="1" ht="15" customHeight="1">
      <c r="A258" s="111"/>
      <c r="B258" s="65" t="s">
        <v>19</v>
      </c>
      <c r="C258" s="112"/>
      <c r="D258" s="96"/>
      <c r="E258" s="96"/>
      <c r="F258" s="97"/>
      <c r="G258" s="97"/>
      <c r="H258" s="97"/>
      <c r="I258" s="97"/>
      <c r="J258" s="97"/>
      <c r="K258" s="114"/>
    </row>
    <row r="259" spans="1:11" s="5" customFormat="1" ht="15" customHeight="1">
      <c r="A259" s="111" t="s">
        <v>228</v>
      </c>
      <c r="B259" s="65" t="s">
        <v>28</v>
      </c>
      <c r="C259" s="112">
        <f>SUM(D259:J259)</f>
        <v>21791.553</v>
      </c>
      <c r="D259" s="96"/>
      <c r="E259" s="96"/>
      <c r="F259" s="97">
        <f>SUM(F255:F257)</f>
        <v>21791.553</v>
      </c>
      <c r="G259" s="97"/>
      <c r="H259" s="97"/>
      <c r="I259" s="97"/>
      <c r="J259" s="97"/>
      <c r="K259" s="114"/>
    </row>
    <row r="260" spans="1:11" s="5" customFormat="1" ht="15" customHeight="1">
      <c r="A260" s="111"/>
      <c r="B260" s="65"/>
      <c r="C260" s="112"/>
      <c r="D260" s="96"/>
      <c r="E260" s="96"/>
      <c r="F260" s="97"/>
      <c r="G260" s="97"/>
      <c r="H260" s="97"/>
      <c r="I260" s="97"/>
      <c r="J260" s="97"/>
      <c r="K260" s="114"/>
    </row>
    <row r="261" spans="1:11" s="7" customFormat="1" ht="83.25" customHeight="1">
      <c r="A261" s="111" t="s">
        <v>229</v>
      </c>
      <c r="B261" s="65" t="s">
        <v>154</v>
      </c>
      <c r="C261" s="97">
        <f>SUM(D261:J261)</f>
        <v>4709</v>
      </c>
      <c r="D261" s="96">
        <f>SUM(D262:D264)</f>
        <v>0</v>
      </c>
      <c r="E261" s="96">
        <f aca="true" t="shared" si="90" ref="E261:J261">SUM(E262:E264)</f>
        <v>0</v>
      </c>
      <c r="F261" s="97">
        <f>SUM(F262:F264)</f>
        <v>3334</v>
      </c>
      <c r="G261" s="97">
        <f t="shared" si="90"/>
        <v>1375</v>
      </c>
      <c r="H261" s="97">
        <f t="shared" si="90"/>
        <v>0</v>
      </c>
      <c r="I261" s="97">
        <f t="shared" si="90"/>
        <v>0</v>
      </c>
      <c r="J261" s="97">
        <f t="shared" si="90"/>
        <v>0</v>
      </c>
      <c r="K261" s="114" t="s">
        <v>159</v>
      </c>
    </row>
    <row r="262" spans="1:11" s="7" customFormat="1" ht="15" customHeight="1">
      <c r="A262" s="111" t="s">
        <v>230</v>
      </c>
      <c r="B262" s="65" t="s">
        <v>188</v>
      </c>
      <c r="C262" s="112">
        <f>SUM(D262:J262)</f>
        <v>34</v>
      </c>
      <c r="D262" s="96"/>
      <c r="E262" s="96"/>
      <c r="F262" s="97">
        <v>34</v>
      </c>
      <c r="G262" s="97"/>
      <c r="H262" s="97"/>
      <c r="I262" s="97"/>
      <c r="J262" s="97"/>
      <c r="K262" s="114"/>
    </row>
    <row r="263" spans="1:11" s="7" customFormat="1" ht="15" customHeight="1">
      <c r="A263" s="111" t="s">
        <v>231</v>
      </c>
      <c r="B263" s="65" t="s">
        <v>7</v>
      </c>
      <c r="C263" s="112">
        <f>SUM(D263:J263)</f>
        <v>3175</v>
      </c>
      <c r="D263" s="96"/>
      <c r="E263" s="96"/>
      <c r="F263" s="97">
        <f>1800</f>
        <v>1800</v>
      </c>
      <c r="G263" s="97">
        <v>1375</v>
      </c>
      <c r="H263" s="97"/>
      <c r="I263" s="97"/>
      <c r="J263" s="97"/>
      <c r="K263" s="114"/>
    </row>
    <row r="264" spans="1:11" s="7" customFormat="1" ht="15" customHeight="1">
      <c r="A264" s="111" t="s">
        <v>232</v>
      </c>
      <c r="B264" s="65" t="s">
        <v>9</v>
      </c>
      <c r="C264" s="112">
        <f>SUM(D264:J264)</f>
        <v>1500</v>
      </c>
      <c r="D264" s="96"/>
      <c r="E264" s="96"/>
      <c r="F264" s="97">
        <f>1500</f>
        <v>1500</v>
      </c>
      <c r="G264" s="97"/>
      <c r="H264" s="97"/>
      <c r="I264" s="97"/>
      <c r="J264" s="97"/>
      <c r="K264" s="114"/>
    </row>
    <row r="265" spans="1:11" s="7" customFormat="1" ht="15" customHeight="1">
      <c r="A265" s="111"/>
      <c r="B265" s="65" t="s">
        <v>19</v>
      </c>
      <c r="C265" s="112"/>
      <c r="D265" s="96"/>
      <c r="E265" s="96"/>
      <c r="F265" s="97"/>
      <c r="G265" s="97"/>
      <c r="H265" s="97"/>
      <c r="I265" s="97"/>
      <c r="J265" s="97"/>
      <c r="K265" s="114"/>
    </row>
    <row r="266" spans="1:11" s="7" customFormat="1" ht="15" customHeight="1">
      <c r="A266" s="111" t="s">
        <v>233</v>
      </c>
      <c r="B266" s="65" t="s">
        <v>65</v>
      </c>
      <c r="C266" s="112">
        <f>SUM(D266:J266)</f>
        <v>3334</v>
      </c>
      <c r="D266" s="96"/>
      <c r="E266" s="96"/>
      <c r="F266" s="97">
        <f>SUM(F262:F264)</f>
        <v>3334</v>
      </c>
      <c r="G266" s="97"/>
      <c r="H266" s="97"/>
      <c r="I266" s="97"/>
      <c r="J266" s="97"/>
      <c r="K266" s="114"/>
    </row>
    <row r="267" spans="1:11" s="7" customFormat="1" ht="15" customHeight="1">
      <c r="A267" s="111" t="s">
        <v>234</v>
      </c>
      <c r="B267" s="65" t="s">
        <v>64</v>
      </c>
      <c r="C267" s="112">
        <f>SUM(D267:J267)</f>
        <v>1375</v>
      </c>
      <c r="D267" s="96"/>
      <c r="E267" s="96"/>
      <c r="F267" s="97"/>
      <c r="G267" s="97">
        <f>SUM(G262:G264)</f>
        <v>1375</v>
      </c>
      <c r="H267" s="97"/>
      <c r="I267" s="97"/>
      <c r="J267" s="97"/>
      <c r="K267" s="114"/>
    </row>
    <row r="268" spans="1:11" s="5" customFormat="1" ht="15" customHeight="1">
      <c r="A268" s="111"/>
      <c r="B268" s="65"/>
      <c r="C268" s="112"/>
      <c r="D268" s="96"/>
      <c r="E268" s="96"/>
      <c r="F268" s="97"/>
      <c r="G268" s="97"/>
      <c r="H268" s="97"/>
      <c r="I268" s="97"/>
      <c r="J268" s="97"/>
      <c r="K268" s="114"/>
    </row>
    <row r="269" spans="1:11" s="5" customFormat="1" ht="96.75" customHeight="1">
      <c r="A269" s="111" t="s">
        <v>235</v>
      </c>
      <c r="B269" s="65" t="s">
        <v>160</v>
      </c>
      <c r="C269" s="97">
        <f>SUM(D269:J269)</f>
        <v>3996.2999999999997</v>
      </c>
      <c r="D269" s="96">
        <f>SUM(D270:D272)</f>
        <v>0</v>
      </c>
      <c r="E269" s="96">
        <f aca="true" t="shared" si="91" ref="E269:J269">SUM(E270:E272)</f>
        <v>0</v>
      </c>
      <c r="F269" s="97">
        <f>SUM(F270:F272)</f>
        <v>3996.2999999999997</v>
      </c>
      <c r="G269" s="97">
        <f t="shared" si="91"/>
        <v>0</v>
      </c>
      <c r="H269" s="97">
        <f t="shared" si="91"/>
        <v>0</v>
      </c>
      <c r="I269" s="97">
        <f t="shared" si="91"/>
        <v>0</v>
      </c>
      <c r="J269" s="97">
        <f t="shared" si="91"/>
        <v>0</v>
      </c>
      <c r="K269" s="114" t="s">
        <v>162</v>
      </c>
    </row>
    <row r="270" spans="1:11" s="5" customFormat="1" ht="15" customHeight="1">
      <c r="A270" s="111" t="s">
        <v>236</v>
      </c>
      <c r="B270" s="65" t="s">
        <v>7</v>
      </c>
      <c r="C270" s="112">
        <f>SUM(D270:J270)</f>
        <v>84.6</v>
      </c>
      <c r="D270" s="96"/>
      <c r="E270" s="96"/>
      <c r="F270" s="97">
        <f>84.6</f>
        <v>84.6</v>
      </c>
      <c r="G270" s="97"/>
      <c r="H270" s="97"/>
      <c r="I270" s="97"/>
      <c r="J270" s="97"/>
      <c r="K270" s="114"/>
    </row>
    <row r="271" spans="1:11" s="5" customFormat="1" ht="15" customHeight="1">
      <c r="A271" s="111" t="s">
        <v>237</v>
      </c>
      <c r="B271" s="65" t="s">
        <v>9</v>
      </c>
      <c r="C271" s="112">
        <f>SUM(D271:J271)</f>
        <v>0</v>
      </c>
      <c r="D271" s="96"/>
      <c r="E271" s="96"/>
      <c r="F271" s="97"/>
      <c r="G271" s="97"/>
      <c r="H271" s="97"/>
      <c r="I271" s="97"/>
      <c r="J271" s="97"/>
      <c r="K271" s="114"/>
    </row>
    <row r="272" spans="1:11" s="5" customFormat="1" ht="15" customHeight="1">
      <c r="A272" s="111" t="s">
        <v>238</v>
      </c>
      <c r="B272" s="65" t="s">
        <v>8</v>
      </c>
      <c r="C272" s="112">
        <f>SUM(D272:J272)</f>
        <v>3911.7</v>
      </c>
      <c r="D272" s="96"/>
      <c r="E272" s="96"/>
      <c r="F272" s="97">
        <v>3911.7</v>
      </c>
      <c r="G272" s="97"/>
      <c r="H272" s="97"/>
      <c r="I272" s="97"/>
      <c r="J272" s="97"/>
      <c r="K272" s="114"/>
    </row>
    <row r="273" spans="1:11" s="5" customFormat="1" ht="15" customHeight="1">
      <c r="A273" s="111"/>
      <c r="B273" s="65" t="s">
        <v>19</v>
      </c>
      <c r="C273" s="112"/>
      <c r="D273" s="96"/>
      <c r="E273" s="96"/>
      <c r="F273" s="97"/>
      <c r="G273" s="97"/>
      <c r="H273" s="97"/>
      <c r="I273" s="97"/>
      <c r="J273" s="97"/>
      <c r="K273" s="114"/>
    </row>
    <row r="274" spans="1:11" s="5" customFormat="1" ht="15" customHeight="1">
      <c r="A274" s="111" t="s">
        <v>239</v>
      </c>
      <c r="B274" s="65" t="s">
        <v>64</v>
      </c>
      <c r="C274" s="112">
        <f>SUM(D274:J274)</f>
        <v>3996.2999999999997</v>
      </c>
      <c r="D274" s="96"/>
      <c r="E274" s="96"/>
      <c r="F274" s="97">
        <f>SUM(F270:F272)</f>
        <v>3996.2999999999997</v>
      </c>
      <c r="G274" s="97"/>
      <c r="H274" s="97"/>
      <c r="I274" s="97"/>
      <c r="J274" s="97"/>
      <c r="K274" s="114"/>
    </row>
    <row r="275" spans="1:11" s="5" customFormat="1" ht="15" customHeight="1">
      <c r="A275" s="111"/>
      <c r="B275" s="76"/>
      <c r="C275" s="122"/>
      <c r="D275" s="122"/>
      <c r="E275" s="122"/>
      <c r="F275" s="123"/>
      <c r="G275" s="122"/>
      <c r="H275" s="122"/>
      <c r="I275" s="122"/>
      <c r="J275" s="122"/>
      <c r="K275" s="124"/>
    </row>
    <row r="276" spans="1:11" s="4" customFormat="1" ht="15" customHeight="1">
      <c r="A276" s="107"/>
      <c r="B276" s="108" t="s">
        <v>1</v>
      </c>
      <c r="C276" s="109"/>
      <c r="D276" s="109"/>
      <c r="E276" s="109"/>
      <c r="F276" s="109"/>
      <c r="G276" s="109"/>
      <c r="H276" s="109"/>
      <c r="I276" s="109"/>
      <c r="J276" s="109"/>
      <c r="K276" s="110"/>
    </row>
    <row r="277" spans="1:13" s="5" customFormat="1" ht="15.75">
      <c r="A277" s="111" t="s">
        <v>240</v>
      </c>
      <c r="B277" s="65" t="s">
        <v>36</v>
      </c>
      <c r="C277" s="112">
        <f>SUM(C278:C279)</f>
        <v>94319.284</v>
      </c>
      <c r="D277" s="96">
        <f>SUM(D278:D279)</f>
        <v>3619.284</v>
      </c>
      <c r="E277" s="96">
        <f aca="true" t="shared" si="92" ref="E277:J277">SUM(E278:E279)</f>
        <v>7500</v>
      </c>
      <c r="F277" s="97">
        <f t="shared" si="92"/>
        <v>10000</v>
      </c>
      <c r="G277" s="97">
        <f t="shared" si="92"/>
        <v>32000</v>
      </c>
      <c r="H277" s="97">
        <f t="shared" si="92"/>
        <v>15300</v>
      </c>
      <c r="I277" s="97">
        <f t="shared" si="92"/>
        <v>15200</v>
      </c>
      <c r="J277" s="97">
        <f t="shared" si="92"/>
        <v>10700</v>
      </c>
      <c r="K277" s="119"/>
      <c r="L277" s="52"/>
      <c r="M277" s="52"/>
    </row>
    <row r="278" spans="1:13" s="5" customFormat="1" ht="15" customHeight="1">
      <c r="A278" s="111" t="s">
        <v>241</v>
      </c>
      <c r="B278" s="65" t="s">
        <v>7</v>
      </c>
      <c r="C278" s="112">
        <f>SUM(D278:J278)</f>
        <v>94319.284</v>
      </c>
      <c r="D278" s="96">
        <f aca="true" t="shared" si="93" ref="D278:J278">SUM(D283+D297)</f>
        <v>3619.284</v>
      </c>
      <c r="E278" s="96">
        <f t="shared" si="93"/>
        <v>7500</v>
      </c>
      <c r="F278" s="97">
        <f t="shared" si="93"/>
        <v>10000</v>
      </c>
      <c r="G278" s="97">
        <f t="shared" si="93"/>
        <v>32000</v>
      </c>
      <c r="H278" s="97">
        <f t="shared" si="93"/>
        <v>15300</v>
      </c>
      <c r="I278" s="97">
        <f t="shared" si="93"/>
        <v>15200</v>
      </c>
      <c r="J278" s="97">
        <f t="shared" si="93"/>
        <v>10700</v>
      </c>
      <c r="K278" s="114"/>
      <c r="L278" s="57"/>
      <c r="M278" s="57"/>
    </row>
    <row r="279" spans="1:13" s="5" customFormat="1" ht="15" customHeight="1">
      <c r="A279" s="111" t="s">
        <v>242</v>
      </c>
      <c r="B279" s="65" t="s">
        <v>9</v>
      </c>
      <c r="C279" s="112">
        <f>SUM(D279:J279)</f>
        <v>0</v>
      </c>
      <c r="D279" s="96">
        <f>SUM(D284)</f>
        <v>0</v>
      </c>
      <c r="E279" s="96">
        <f aca="true" t="shared" si="94" ref="E279:J279">SUM(E284)</f>
        <v>0</v>
      </c>
      <c r="F279" s="97">
        <f t="shared" si="94"/>
        <v>0</v>
      </c>
      <c r="G279" s="97">
        <f t="shared" si="94"/>
        <v>0</v>
      </c>
      <c r="H279" s="97">
        <f t="shared" si="94"/>
        <v>0</v>
      </c>
      <c r="I279" s="97">
        <f t="shared" si="94"/>
        <v>0</v>
      </c>
      <c r="J279" s="97">
        <f t="shared" si="94"/>
        <v>0</v>
      </c>
      <c r="K279" s="114"/>
      <c r="L279" s="57"/>
      <c r="M279" s="57"/>
    </row>
    <row r="280" spans="1:13" s="5" customFormat="1" ht="15" customHeight="1">
      <c r="A280" s="93"/>
      <c r="B280" s="94"/>
      <c r="C280" s="125"/>
      <c r="D280" s="126"/>
      <c r="E280" s="126"/>
      <c r="F280" s="125"/>
      <c r="G280" s="125"/>
      <c r="H280" s="125"/>
      <c r="I280" s="125"/>
      <c r="J280" s="125"/>
      <c r="K280" s="114"/>
      <c r="M280" s="57"/>
    </row>
    <row r="281" spans="1:13" s="5" customFormat="1" ht="15" customHeight="1">
      <c r="A281" s="107"/>
      <c r="B281" s="108" t="s">
        <v>11</v>
      </c>
      <c r="C281" s="109"/>
      <c r="D281" s="109"/>
      <c r="E281" s="109"/>
      <c r="F281" s="109"/>
      <c r="G281" s="109"/>
      <c r="H281" s="109"/>
      <c r="I281" s="109"/>
      <c r="J281" s="109"/>
      <c r="K281" s="110"/>
      <c r="M281" s="57"/>
    </row>
    <row r="282" spans="1:11" s="5" customFormat="1" ht="24" customHeight="1">
      <c r="A282" s="111" t="s">
        <v>243</v>
      </c>
      <c r="B282" s="65" t="s">
        <v>32</v>
      </c>
      <c r="C282" s="112">
        <f aca="true" t="shared" si="95" ref="C282:J282">SUM(C283:C284)</f>
        <v>93606.732</v>
      </c>
      <c r="D282" s="96">
        <f t="shared" si="95"/>
        <v>3606.732</v>
      </c>
      <c r="E282" s="96">
        <f t="shared" si="95"/>
        <v>7500</v>
      </c>
      <c r="F282" s="97">
        <f t="shared" si="95"/>
        <v>10000</v>
      </c>
      <c r="G282" s="97">
        <f t="shared" si="95"/>
        <v>32000</v>
      </c>
      <c r="H282" s="97">
        <f t="shared" si="95"/>
        <v>15000</v>
      </c>
      <c r="I282" s="97">
        <f t="shared" si="95"/>
        <v>15000</v>
      </c>
      <c r="J282" s="97">
        <f t="shared" si="95"/>
        <v>10500</v>
      </c>
      <c r="K282" s="114"/>
    </row>
    <row r="283" spans="1:11" s="5" customFormat="1" ht="15" customHeight="1">
      <c r="A283" s="111" t="s">
        <v>244</v>
      </c>
      <c r="B283" s="65" t="s">
        <v>7</v>
      </c>
      <c r="C283" s="112">
        <f>SUM(D283:J283)</f>
        <v>93606.732</v>
      </c>
      <c r="D283" s="96">
        <f>SUM(D288)</f>
        <v>3606.732</v>
      </c>
      <c r="E283" s="96">
        <f aca="true" t="shared" si="96" ref="E283:J283">SUM(E288)</f>
        <v>7500</v>
      </c>
      <c r="F283" s="97">
        <f t="shared" si="96"/>
        <v>10000</v>
      </c>
      <c r="G283" s="97">
        <f t="shared" si="96"/>
        <v>32000</v>
      </c>
      <c r="H283" s="97">
        <f t="shared" si="96"/>
        <v>15000</v>
      </c>
      <c r="I283" s="97">
        <f t="shared" si="96"/>
        <v>15000</v>
      </c>
      <c r="J283" s="97">
        <f t="shared" si="96"/>
        <v>10500</v>
      </c>
      <c r="K283" s="114"/>
    </row>
    <row r="284" spans="1:11" s="5" customFormat="1" ht="15" customHeight="1">
      <c r="A284" s="111" t="s">
        <v>245</v>
      </c>
      <c r="B284" s="65" t="s">
        <v>9</v>
      </c>
      <c r="C284" s="112">
        <f>SUM(D284:J284)</f>
        <v>0</v>
      </c>
      <c r="D284" s="96">
        <f>SUM(D289)</f>
        <v>0</v>
      </c>
      <c r="E284" s="96">
        <f aca="true" t="shared" si="97" ref="E284:J284">SUM(E289)</f>
        <v>0</v>
      </c>
      <c r="F284" s="97">
        <f t="shared" si="97"/>
        <v>0</v>
      </c>
      <c r="G284" s="97">
        <f t="shared" si="97"/>
        <v>0</v>
      </c>
      <c r="H284" s="97">
        <f t="shared" si="97"/>
        <v>0</v>
      </c>
      <c r="I284" s="97">
        <f t="shared" si="97"/>
        <v>0</v>
      </c>
      <c r="J284" s="97">
        <f t="shared" si="97"/>
        <v>0</v>
      </c>
      <c r="K284" s="114"/>
    </row>
    <row r="285" spans="1:11" s="5" customFormat="1" ht="15" customHeight="1">
      <c r="A285" s="93"/>
      <c r="B285" s="127"/>
      <c r="C285" s="97"/>
      <c r="D285" s="96"/>
      <c r="E285" s="96"/>
      <c r="F285" s="97"/>
      <c r="G285" s="97"/>
      <c r="H285" s="97"/>
      <c r="I285" s="97"/>
      <c r="J285" s="97"/>
      <c r="K285" s="114"/>
    </row>
    <row r="286" spans="1:11" s="5" customFormat="1" ht="15" customHeight="1">
      <c r="A286" s="107"/>
      <c r="B286" s="108" t="s">
        <v>23</v>
      </c>
      <c r="C286" s="109"/>
      <c r="D286" s="109"/>
      <c r="E286" s="109"/>
      <c r="F286" s="109"/>
      <c r="G286" s="109"/>
      <c r="H286" s="109"/>
      <c r="I286" s="109"/>
      <c r="J286" s="109"/>
      <c r="K286" s="110"/>
    </row>
    <row r="287" spans="1:11" s="16" customFormat="1" ht="31.5">
      <c r="A287" s="111" t="s">
        <v>246</v>
      </c>
      <c r="B287" s="65" t="s">
        <v>343</v>
      </c>
      <c r="C287" s="112">
        <f>SUM(D287:J287)</f>
        <v>93606.732</v>
      </c>
      <c r="D287" s="96">
        <f>SUM(D288:D289)</f>
        <v>3606.732</v>
      </c>
      <c r="E287" s="96">
        <f aca="true" t="shared" si="98" ref="E287:J287">SUM(E288:E289)</f>
        <v>7500</v>
      </c>
      <c r="F287" s="97">
        <f t="shared" si="98"/>
        <v>10000</v>
      </c>
      <c r="G287" s="97">
        <f t="shared" si="98"/>
        <v>32000</v>
      </c>
      <c r="H287" s="97">
        <f t="shared" si="98"/>
        <v>15000</v>
      </c>
      <c r="I287" s="97">
        <f t="shared" si="98"/>
        <v>15000</v>
      </c>
      <c r="J287" s="97">
        <f t="shared" si="98"/>
        <v>10500</v>
      </c>
      <c r="K287" s="115"/>
    </row>
    <row r="288" spans="1:11" s="7" customFormat="1" ht="15" customHeight="1">
      <c r="A288" s="111" t="s">
        <v>247</v>
      </c>
      <c r="B288" s="65" t="s">
        <v>7</v>
      </c>
      <c r="C288" s="112">
        <f>SUM(D288:J288)</f>
        <v>93606.732</v>
      </c>
      <c r="D288" s="96">
        <f>D292</f>
        <v>3606.732</v>
      </c>
      <c r="E288" s="96">
        <f aca="true" t="shared" si="99" ref="E288:J288">E292</f>
        <v>7500</v>
      </c>
      <c r="F288" s="97">
        <f>F292</f>
        <v>10000</v>
      </c>
      <c r="G288" s="97">
        <f t="shared" si="99"/>
        <v>32000</v>
      </c>
      <c r="H288" s="97">
        <f t="shared" si="99"/>
        <v>15000</v>
      </c>
      <c r="I288" s="97">
        <f t="shared" si="99"/>
        <v>15000</v>
      </c>
      <c r="J288" s="97">
        <f t="shared" si="99"/>
        <v>10500</v>
      </c>
      <c r="K288" s="114"/>
    </row>
    <row r="289" spans="1:11" s="5" customFormat="1" ht="15" customHeight="1">
      <c r="A289" s="111" t="s">
        <v>248</v>
      </c>
      <c r="B289" s="65" t="s">
        <v>9</v>
      </c>
      <c r="C289" s="112">
        <f>SUM(D289:J289)</f>
        <v>0</v>
      </c>
      <c r="D289" s="96">
        <f>D293</f>
        <v>0</v>
      </c>
      <c r="E289" s="96">
        <f aca="true" t="shared" si="100" ref="E289:J289">E293</f>
        <v>0</v>
      </c>
      <c r="F289" s="97">
        <f t="shared" si="100"/>
        <v>0</v>
      </c>
      <c r="G289" s="97">
        <f t="shared" si="100"/>
        <v>0</v>
      </c>
      <c r="H289" s="97">
        <f t="shared" si="100"/>
        <v>0</v>
      </c>
      <c r="I289" s="97">
        <f t="shared" si="100"/>
        <v>0</v>
      </c>
      <c r="J289" s="97">
        <f t="shared" si="100"/>
        <v>0</v>
      </c>
      <c r="K289" s="114"/>
    </row>
    <row r="290" spans="1:11" s="5" customFormat="1" ht="15" customHeight="1">
      <c r="A290" s="111"/>
      <c r="B290" s="68"/>
      <c r="C290" s="112"/>
      <c r="D290" s="96"/>
      <c r="E290" s="96"/>
      <c r="F290" s="97"/>
      <c r="G290" s="97"/>
      <c r="H290" s="97"/>
      <c r="I290" s="97"/>
      <c r="J290" s="97"/>
      <c r="K290" s="114"/>
    </row>
    <row r="291" spans="1:11" s="7" customFormat="1" ht="63" customHeight="1">
      <c r="A291" s="111" t="s">
        <v>249</v>
      </c>
      <c r="B291" s="65" t="s">
        <v>112</v>
      </c>
      <c r="C291" s="112">
        <f>SUM(D291:J291)</f>
        <v>93606.732</v>
      </c>
      <c r="D291" s="96">
        <f>SUM(D292:D293)</f>
        <v>3606.732</v>
      </c>
      <c r="E291" s="96">
        <f aca="true" t="shared" si="101" ref="E291:J291">SUM(E292:E293)</f>
        <v>7500</v>
      </c>
      <c r="F291" s="97">
        <f t="shared" si="101"/>
        <v>10000</v>
      </c>
      <c r="G291" s="97">
        <f t="shared" si="101"/>
        <v>32000</v>
      </c>
      <c r="H291" s="97">
        <f t="shared" si="101"/>
        <v>15000</v>
      </c>
      <c r="I291" s="97">
        <f t="shared" si="101"/>
        <v>15000</v>
      </c>
      <c r="J291" s="97">
        <f t="shared" si="101"/>
        <v>10500</v>
      </c>
      <c r="K291" s="114" t="s">
        <v>165</v>
      </c>
    </row>
    <row r="292" spans="1:11" s="7" customFormat="1" ht="15" customHeight="1">
      <c r="A292" s="111" t="s">
        <v>250</v>
      </c>
      <c r="B292" s="65" t="s">
        <v>7</v>
      </c>
      <c r="C292" s="112">
        <f>SUM(D292:J292)</f>
        <v>93606.732</v>
      </c>
      <c r="D292" s="96">
        <v>3606.732</v>
      </c>
      <c r="E292" s="96">
        <f>15000-3000-5000+500</f>
        <v>7500</v>
      </c>
      <c r="F292" s="97">
        <f>15000-5000</f>
        <v>10000</v>
      </c>
      <c r="G292" s="97">
        <f>10000+22000</f>
        <v>32000</v>
      </c>
      <c r="H292" s="97">
        <v>15000</v>
      </c>
      <c r="I292" s="97">
        <v>15000</v>
      </c>
      <c r="J292" s="97">
        <f>32500-22000</f>
        <v>10500</v>
      </c>
      <c r="K292" s="114"/>
    </row>
    <row r="293" spans="1:11" s="7" customFormat="1" ht="15" customHeight="1">
      <c r="A293" s="111" t="s">
        <v>251</v>
      </c>
      <c r="B293" s="65" t="s">
        <v>9</v>
      </c>
      <c r="C293" s="112">
        <f>SUM(D293:J293)</f>
        <v>0</v>
      </c>
      <c r="D293" s="96"/>
      <c r="E293" s="96"/>
      <c r="F293" s="97"/>
      <c r="G293" s="97"/>
      <c r="H293" s="97"/>
      <c r="I293" s="97"/>
      <c r="J293" s="97"/>
      <c r="K293" s="114"/>
    </row>
    <row r="294" spans="1:11" s="5" customFormat="1" ht="15" customHeight="1">
      <c r="A294" s="93"/>
      <c r="B294" s="127"/>
      <c r="C294" s="97"/>
      <c r="D294" s="96"/>
      <c r="E294" s="96"/>
      <c r="F294" s="97"/>
      <c r="G294" s="97"/>
      <c r="H294" s="97"/>
      <c r="I294" s="97"/>
      <c r="J294" s="97"/>
      <c r="K294" s="114"/>
    </row>
    <row r="295" spans="1:11" s="5" customFormat="1" ht="15" customHeight="1">
      <c r="A295" s="107"/>
      <c r="B295" s="108" t="s">
        <v>15</v>
      </c>
      <c r="C295" s="109"/>
      <c r="D295" s="109"/>
      <c r="E295" s="109"/>
      <c r="F295" s="109"/>
      <c r="G295" s="109"/>
      <c r="H295" s="109"/>
      <c r="I295" s="109"/>
      <c r="J295" s="109"/>
      <c r="K295" s="110"/>
    </row>
    <row r="296" spans="1:11" s="5" customFormat="1" ht="15.75">
      <c r="A296" s="111" t="s">
        <v>252</v>
      </c>
      <c r="B296" s="65" t="s">
        <v>16</v>
      </c>
      <c r="C296" s="112">
        <f>SUM(C297)</f>
        <v>712.552</v>
      </c>
      <c r="D296" s="96">
        <f>SUM(D297:D297)</f>
        <v>12.552</v>
      </c>
      <c r="E296" s="96">
        <f aca="true" t="shared" si="102" ref="E296:J296">SUM(E297:E297)</f>
        <v>0</v>
      </c>
      <c r="F296" s="97">
        <f t="shared" si="102"/>
        <v>0</v>
      </c>
      <c r="G296" s="97">
        <f t="shared" si="102"/>
        <v>0</v>
      </c>
      <c r="H296" s="97">
        <f t="shared" si="102"/>
        <v>300</v>
      </c>
      <c r="I296" s="97">
        <f t="shared" si="102"/>
        <v>200</v>
      </c>
      <c r="J296" s="97">
        <f t="shared" si="102"/>
        <v>200</v>
      </c>
      <c r="K296" s="114"/>
    </row>
    <row r="297" spans="1:11" s="5" customFormat="1" ht="15" customHeight="1">
      <c r="A297" s="111" t="s">
        <v>253</v>
      </c>
      <c r="B297" s="65" t="s">
        <v>7</v>
      </c>
      <c r="C297" s="112">
        <f>SUM(D297:J297)</f>
        <v>712.552</v>
      </c>
      <c r="D297" s="96">
        <f>SUM(D300+D303)</f>
        <v>12.552</v>
      </c>
      <c r="E297" s="96">
        <f aca="true" t="shared" si="103" ref="E297:J297">SUM(E300+E303)</f>
        <v>0</v>
      </c>
      <c r="F297" s="97">
        <f t="shared" si="103"/>
        <v>0</v>
      </c>
      <c r="G297" s="97">
        <f t="shared" si="103"/>
        <v>0</v>
      </c>
      <c r="H297" s="97">
        <f t="shared" si="103"/>
        <v>300</v>
      </c>
      <c r="I297" s="97">
        <f t="shared" si="103"/>
        <v>200</v>
      </c>
      <c r="J297" s="97">
        <f t="shared" si="103"/>
        <v>200</v>
      </c>
      <c r="K297" s="114"/>
    </row>
    <row r="298" spans="1:11" s="5" customFormat="1" ht="15" customHeight="1">
      <c r="A298" s="111"/>
      <c r="B298" s="66"/>
      <c r="C298" s="128"/>
      <c r="D298" s="126"/>
      <c r="E298" s="126"/>
      <c r="F298" s="125"/>
      <c r="G298" s="125"/>
      <c r="H298" s="125"/>
      <c r="I298" s="125"/>
      <c r="J298" s="125"/>
      <c r="K298" s="114"/>
    </row>
    <row r="299" spans="1:11" s="7" customFormat="1" ht="52.5" customHeight="1">
      <c r="A299" s="111" t="s">
        <v>254</v>
      </c>
      <c r="B299" s="65" t="s">
        <v>113</v>
      </c>
      <c r="C299" s="112">
        <f>SUM(C300)</f>
        <v>351.552</v>
      </c>
      <c r="D299" s="96">
        <f>SUM(D300:D300)</f>
        <v>1.552</v>
      </c>
      <c r="E299" s="96">
        <f aca="true" t="shared" si="104" ref="E299:J299">SUM(E300:E300)</f>
        <v>0</v>
      </c>
      <c r="F299" s="97">
        <f t="shared" si="104"/>
        <v>0</v>
      </c>
      <c r="G299" s="97">
        <f t="shared" si="104"/>
        <v>0</v>
      </c>
      <c r="H299" s="97">
        <f t="shared" si="104"/>
        <v>150</v>
      </c>
      <c r="I299" s="97">
        <f t="shared" si="104"/>
        <v>100</v>
      </c>
      <c r="J299" s="97">
        <f t="shared" si="104"/>
        <v>100</v>
      </c>
      <c r="K299" s="114" t="s">
        <v>166</v>
      </c>
    </row>
    <row r="300" spans="1:11" s="7" customFormat="1" ht="15" customHeight="1">
      <c r="A300" s="111" t="s">
        <v>255</v>
      </c>
      <c r="B300" s="65" t="s">
        <v>7</v>
      </c>
      <c r="C300" s="112">
        <f>SUM(D300:J300)</f>
        <v>351.552</v>
      </c>
      <c r="D300" s="96">
        <v>1.552</v>
      </c>
      <c r="E300" s="96">
        <v>0</v>
      </c>
      <c r="F300" s="97">
        <v>0</v>
      </c>
      <c r="G300" s="97">
        <f>50-50</f>
        <v>0</v>
      </c>
      <c r="H300" s="97">
        <v>150</v>
      </c>
      <c r="I300" s="97">
        <v>100</v>
      </c>
      <c r="J300" s="97">
        <v>100</v>
      </c>
      <c r="K300" s="114"/>
    </row>
    <row r="301" spans="1:11" s="5" customFormat="1" ht="15" customHeight="1">
      <c r="A301" s="111"/>
      <c r="B301" s="65"/>
      <c r="C301" s="112"/>
      <c r="D301" s="96"/>
      <c r="E301" s="96"/>
      <c r="F301" s="97"/>
      <c r="G301" s="97"/>
      <c r="H301" s="97"/>
      <c r="I301" s="97"/>
      <c r="J301" s="97"/>
      <c r="K301" s="114"/>
    </row>
    <row r="302" spans="1:11" s="7" customFormat="1" ht="51" customHeight="1">
      <c r="A302" s="111" t="s">
        <v>256</v>
      </c>
      <c r="B302" s="65" t="s">
        <v>114</v>
      </c>
      <c r="C302" s="112">
        <f>SUM(C303)</f>
        <v>361</v>
      </c>
      <c r="D302" s="96">
        <f>SUM(D303:D303)</f>
        <v>11</v>
      </c>
      <c r="E302" s="96">
        <f aca="true" t="shared" si="105" ref="E302:J302">SUM(E303:E303)</f>
        <v>0</v>
      </c>
      <c r="F302" s="97">
        <f t="shared" si="105"/>
        <v>0</v>
      </c>
      <c r="G302" s="97">
        <f t="shared" si="105"/>
        <v>0</v>
      </c>
      <c r="H302" s="97">
        <f t="shared" si="105"/>
        <v>150</v>
      </c>
      <c r="I302" s="97">
        <f t="shared" si="105"/>
        <v>100</v>
      </c>
      <c r="J302" s="97">
        <f t="shared" si="105"/>
        <v>100</v>
      </c>
      <c r="K302" s="114" t="s">
        <v>167</v>
      </c>
    </row>
    <row r="303" spans="1:11" s="7" customFormat="1" ht="15" customHeight="1">
      <c r="A303" s="111" t="s">
        <v>257</v>
      </c>
      <c r="B303" s="65" t="s">
        <v>7</v>
      </c>
      <c r="C303" s="112">
        <f>SUM(D303:J303)</f>
        <v>361</v>
      </c>
      <c r="D303" s="96">
        <f>150-139</f>
        <v>11</v>
      </c>
      <c r="E303" s="96">
        <v>0</v>
      </c>
      <c r="F303" s="97">
        <v>0</v>
      </c>
      <c r="G303" s="97">
        <v>0</v>
      </c>
      <c r="H303" s="97">
        <v>150</v>
      </c>
      <c r="I303" s="97">
        <v>100</v>
      </c>
      <c r="J303" s="97">
        <v>100</v>
      </c>
      <c r="K303" s="114"/>
    </row>
    <row r="304" spans="1:11" s="5" customFormat="1" ht="15" customHeight="1">
      <c r="A304" s="93"/>
      <c r="B304" s="127"/>
      <c r="C304" s="97"/>
      <c r="D304" s="96"/>
      <c r="E304" s="96"/>
      <c r="F304" s="97"/>
      <c r="G304" s="97"/>
      <c r="H304" s="97"/>
      <c r="I304" s="97"/>
      <c r="J304" s="97"/>
      <c r="K304" s="114"/>
    </row>
    <row r="305" spans="1:11" s="4" customFormat="1" ht="15" customHeight="1">
      <c r="A305" s="107"/>
      <c r="B305" s="108" t="s">
        <v>2</v>
      </c>
      <c r="C305" s="109"/>
      <c r="D305" s="109"/>
      <c r="E305" s="109"/>
      <c r="F305" s="109"/>
      <c r="G305" s="109"/>
      <c r="H305" s="109"/>
      <c r="I305" s="109"/>
      <c r="J305" s="109"/>
      <c r="K305" s="110"/>
    </row>
    <row r="306" spans="1:11" s="5" customFormat="1" ht="15.75">
      <c r="A306" s="111" t="s">
        <v>258</v>
      </c>
      <c r="B306" s="65" t="s">
        <v>37</v>
      </c>
      <c r="C306" s="112">
        <f>SUM(C307:C310)</f>
        <v>165762.847</v>
      </c>
      <c r="D306" s="96">
        <f>SUM(D307:D310)</f>
        <v>21288.949999999997</v>
      </c>
      <c r="E306" s="96">
        <f aca="true" t="shared" si="106" ref="E306:J306">SUM(E307:E310)</f>
        <v>29337.197</v>
      </c>
      <c r="F306" s="97">
        <f t="shared" si="106"/>
        <v>23899.6</v>
      </c>
      <c r="G306" s="97">
        <f t="shared" si="106"/>
        <v>26943.8</v>
      </c>
      <c r="H306" s="97">
        <f t="shared" si="106"/>
        <v>22075.4</v>
      </c>
      <c r="I306" s="97">
        <f t="shared" si="106"/>
        <v>22122.7</v>
      </c>
      <c r="J306" s="97">
        <f t="shared" si="106"/>
        <v>20095.2</v>
      </c>
      <c r="K306" s="114"/>
    </row>
    <row r="307" spans="1:11" s="5" customFormat="1" ht="15" customHeight="1">
      <c r="A307" s="111" t="s">
        <v>259</v>
      </c>
      <c r="B307" s="65" t="s">
        <v>7</v>
      </c>
      <c r="C307" s="112">
        <f>SUM(D307:J307)</f>
        <v>79738.816</v>
      </c>
      <c r="D307" s="96">
        <f aca="true" t="shared" si="107" ref="D307:J307">SUM(D313+D319)</f>
        <v>9510.15</v>
      </c>
      <c r="E307" s="96">
        <f t="shared" si="107"/>
        <v>12406.866</v>
      </c>
      <c r="F307" s="97">
        <f t="shared" si="107"/>
        <v>11267.6</v>
      </c>
      <c r="G307" s="97">
        <f t="shared" si="107"/>
        <v>12756.5</v>
      </c>
      <c r="H307" s="97">
        <f t="shared" si="107"/>
        <v>11910.2</v>
      </c>
      <c r="I307" s="97">
        <f t="shared" si="107"/>
        <v>11957.5</v>
      </c>
      <c r="J307" s="97">
        <f t="shared" si="107"/>
        <v>9930</v>
      </c>
      <c r="K307" s="114"/>
    </row>
    <row r="308" spans="1:11" s="5" customFormat="1" ht="15" customHeight="1">
      <c r="A308" s="111" t="s">
        <v>260</v>
      </c>
      <c r="B308" s="65" t="s">
        <v>8</v>
      </c>
      <c r="C308" s="112">
        <f>SUM(D308:J308)</f>
        <v>0</v>
      </c>
      <c r="D308" s="96"/>
      <c r="E308" s="96"/>
      <c r="F308" s="97"/>
      <c r="G308" s="97"/>
      <c r="H308" s="97"/>
      <c r="I308" s="97"/>
      <c r="J308" s="97"/>
      <c r="K308" s="114"/>
    </row>
    <row r="309" spans="1:11" s="5" customFormat="1" ht="15" customHeight="1">
      <c r="A309" s="111" t="s">
        <v>261</v>
      </c>
      <c r="B309" s="65" t="s">
        <v>9</v>
      </c>
      <c r="C309" s="112">
        <f>SUM(D309:J309)</f>
        <v>86024.03099999999</v>
      </c>
      <c r="D309" s="96">
        <f>SUM(D321)</f>
        <v>11778.8</v>
      </c>
      <c r="E309" s="96">
        <f aca="true" t="shared" si="108" ref="E309:J309">SUM(E321)</f>
        <v>16930.331</v>
      </c>
      <c r="F309" s="97">
        <f t="shared" si="108"/>
        <v>12632</v>
      </c>
      <c r="G309" s="97">
        <f t="shared" si="108"/>
        <v>14187.3</v>
      </c>
      <c r="H309" s="97">
        <f t="shared" si="108"/>
        <v>10165.2</v>
      </c>
      <c r="I309" s="97">
        <f t="shared" si="108"/>
        <v>10165.2</v>
      </c>
      <c r="J309" s="97">
        <f t="shared" si="108"/>
        <v>10165.2</v>
      </c>
      <c r="K309" s="114"/>
    </row>
    <row r="310" spans="1:11" s="5" customFormat="1" ht="15" customHeight="1">
      <c r="A310" s="111" t="s">
        <v>262</v>
      </c>
      <c r="B310" s="65" t="s">
        <v>10</v>
      </c>
      <c r="C310" s="112">
        <f>SUM(D310:J310)</f>
        <v>0</v>
      </c>
      <c r="D310" s="97"/>
      <c r="E310" s="97"/>
      <c r="F310" s="97"/>
      <c r="G310" s="97"/>
      <c r="H310" s="97"/>
      <c r="I310" s="97"/>
      <c r="J310" s="97"/>
      <c r="K310" s="114"/>
    </row>
    <row r="311" spans="1:11" s="5" customFormat="1" ht="15" customHeight="1">
      <c r="A311" s="107"/>
      <c r="B311" s="108" t="s">
        <v>11</v>
      </c>
      <c r="C311" s="109"/>
      <c r="D311" s="109"/>
      <c r="E311" s="109"/>
      <c r="F311" s="109"/>
      <c r="G311" s="109"/>
      <c r="H311" s="109"/>
      <c r="I311" s="109"/>
      <c r="J311" s="109"/>
      <c r="K311" s="110"/>
    </row>
    <row r="312" spans="1:11" s="5" customFormat="1" ht="19.5" customHeight="1">
      <c r="A312" s="111" t="s">
        <v>263</v>
      </c>
      <c r="B312" s="65" t="s">
        <v>32</v>
      </c>
      <c r="C312" s="112">
        <v>0</v>
      </c>
      <c r="D312" s="96"/>
      <c r="E312" s="96"/>
      <c r="F312" s="97"/>
      <c r="G312" s="97"/>
      <c r="H312" s="97"/>
      <c r="I312" s="97"/>
      <c r="J312" s="97"/>
      <c r="K312" s="114"/>
    </row>
    <row r="313" spans="1:11" s="5" customFormat="1" ht="15" customHeight="1">
      <c r="A313" s="111" t="s">
        <v>264</v>
      </c>
      <c r="B313" s="65" t="s">
        <v>7</v>
      </c>
      <c r="C313" s="112">
        <f>SUM(D313:J313)</f>
        <v>0</v>
      </c>
      <c r="D313" s="96"/>
      <c r="E313" s="96"/>
      <c r="F313" s="97"/>
      <c r="G313" s="97"/>
      <c r="H313" s="97"/>
      <c r="I313" s="97"/>
      <c r="J313" s="97"/>
      <c r="K313" s="114"/>
    </row>
    <row r="314" spans="1:11" s="5" customFormat="1" ht="15" customHeight="1">
      <c r="A314" s="107"/>
      <c r="B314" s="108" t="s">
        <v>12</v>
      </c>
      <c r="C314" s="109"/>
      <c r="D314" s="109"/>
      <c r="E314" s="109"/>
      <c r="F314" s="109"/>
      <c r="G314" s="109"/>
      <c r="H314" s="109"/>
      <c r="I314" s="109"/>
      <c r="J314" s="109"/>
      <c r="K314" s="110"/>
    </row>
    <row r="315" spans="1:11" s="5" customFormat="1" ht="48.75" customHeight="1">
      <c r="A315" s="111" t="s">
        <v>265</v>
      </c>
      <c r="B315" s="65" t="s">
        <v>101</v>
      </c>
      <c r="C315" s="112">
        <v>0</v>
      </c>
      <c r="D315" s="96"/>
      <c r="E315" s="96"/>
      <c r="F315" s="97"/>
      <c r="G315" s="97"/>
      <c r="H315" s="97"/>
      <c r="I315" s="97"/>
      <c r="J315" s="97"/>
      <c r="K315" s="114"/>
    </row>
    <row r="316" spans="1:11" s="5" customFormat="1" ht="15" customHeight="1">
      <c r="A316" s="111" t="s">
        <v>266</v>
      </c>
      <c r="B316" s="65" t="s">
        <v>7</v>
      </c>
      <c r="C316" s="112">
        <f>SUM(D316:J316)</f>
        <v>0</v>
      </c>
      <c r="D316" s="96"/>
      <c r="E316" s="96"/>
      <c r="F316" s="97"/>
      <c r="G316" s="97"/>
      <c r="H316" s="97"/>
      <c r="I316" s="97"/>
      <c r="J316" s="97"/>
      <c r="K316" s="114"/>
    </row>
    <row r="317" spans="1:11" s="5" customFormat="1" ht="15" customHeight="1">
      <c r="A317" s="107"/>
      <c r="B317" s="108" t="s">
        <v>15</v>
      </c>
      <c r="C317" s="109"/>
      <c r="D317" s="109"/>
      <c r="E317" s="109"/>
      <c r="F317" s="109"/>
      <c r="G317" s="109"/>
      <c r="H317" s="109"/>
      <c r="I317" s="109"/>
      <c r="J317" s="109"/>
      <c r="K317" s="110"/>
    </row>
    <row r="318" spans="1:11" s="5" customFormat="1" ht="15.75">
      <c r="A318" s="111" t="s">
        <v>267</v>
      </c>
      <c r="B318" s="65" t="s">
        <v>16</v>
      </c>
      <c r="C318" s="112">
        <f>SUM(C319:C321)</f>
        <v>165762.847</v>
      </c>
      <c r="D318" s="96">
        <f aca="true" t="shared" si="109" ref="D318:J318">SUM(D319:D321)</f>
        <v>21288.949999999997</v>
      </c>
      <c r="E318" s="96">
        <f t="shared" si="109"/>
        <v>29337.197</v>
      </c>
      <c r="F318" s="97">
        <f t="shared" si="109"/>
        <v>23899.6</v>
      </c>
      <c r="G318" s="97">
        <f t="shared" si="109"/>
        <v>26943.8</v>
      </c>
      <c r="H318" s="97">
        <f t="shared" si="109"/>
        <v>22075.4</v>
      </c>
      <c r="I318" s="97">
        <f t="shared" si="109"/>
        <v>22122.7</v>
      </c>
      <c r="J318" s="97">
        <f t="shared" si="109"/>
        <v>20095.2</v>
      </c>
      <c r="K318" s="114"/>
    </row>
    <row r="319" spans="1:11" s="5" customFormat="1" ht="15" customHeight="1">
      <c r="A319" s="111" t="s">
        <v>268</v>
      </c>
      <c r="B319" s="65" t="s">
        <v>7</v>
      </c>
      <c r="C319" s="112">
        <f>SUM(D319:J319)</f>
        <v>79738.816</v>
      </c>
      <c r="D319" s="96">
        <f aca="true" t="shared" si="110" ref="D319:J319">SUM(D324+D328+D331+D335)</f>
        <v>9510.15</v>
      </c>
      <c r="E319" s="96">
        <f>SUM(E324+E328+E331+E335)</f>
        <v>12406.866</v>
      </c>
      <c r="F319" s="97">
        <f t="shared" si="110"/>
        <v>11267.6</v>
      </c>
      <c r="G319" s="97">
        <f t="shared" si="110"/>
        <v>12756.5</v>
      </c>
      <c r="H319" s="97">
        <f t="shared" si="110"/>
        <v>11910.2</v>
      </c>
      <c r="I319" s="97">
        <f t="shared" si="110"/>
        <v>11957.5</v>
      </c>
      <c r="J319" s="97">
        <f t="shared" si="110"/>
        <v>9930</v>
      </c>
      <c r="K319" s="114"/>
    </row>
    <row r="320" spans="1:11" s="5" customFormat="1" ht="15" customHeight="1">
      <c r="A320" s="111" t="s">
        <v>269</v>
      </c>
      <c r="B320" s="65" t="s">
        <v>8</v>
      </c>
      <c r="C320" s="112">
        <f>SUM(D320:J320)</f>
        <v>0</v>
      </c>
      <c r="D320" s="96"/>
      <c r="E320" s="96"/>
      <c r="F320" s="97"/>
      <c r="G320" s="97"/>
      <c r="H320" s="97"/>
      <c r="I320" s="97"/>
      <c r="J320" s="97"/>
      <c r="K320" s="114"/>
    </row>
    <row r="321" spans="1:11" s="5" customFormat="1" ht="15" customHeight="1">
      <c r="A321" s="111" t="s">
        <v>270</v>
      </c>
      <c r="B321" s="65" t="s">
        <v>9</v>
      </c>
      <c r="C321" s="112">
        <f>SUM(D321:J321)</f>
        <v>86024.03099999999</v>
      </c>
      <c r="D321" s="96">
        <f aca="true" t="shared" si="111" ref="D321:J321">SUM(D332+D325+D336)</f>
        <v>11778.8</v>
      </c>
      <c r="E321" s="96">
        <f t="shared" si="111"/>
        <v>16930.331</v>
      </c>
      <c r="F321" s="97">
        <f t="shared" si="111"/>
        <v>12632</v>
      </c>
      <c r="G321" s="97">
        <f t="shared" si="111"/>
        <v>14187.3</v>
      </c>
      <c r="H321" s="97">
        <f t="shared" si="111"/>
        <v>10165.2</v>
      </c>
      <c r="I321" s="97">
        <f t="shared" si="111"/>
        <v>10165.2</v>
      </c>
      <c r="J321" s="97">
        <f t="shared" si="111"/>
        <v>10165.2</v>
      </c>
      <c r="K321" s="114"/>
    </row>
    <row r="322" spans="1:11" s="5" customFormat="1" ht="15" customHeight="1">
      <c r="A322" s="111"/>
      <c r="B322" s="65"/>
      <c r="C322" s="112"/>
      <c r="D322" s="96"/>
      <c r="E322" s="96"/>
      <c r="F322" s="97"/>
      <c r="G322" s="97"/>
      <c r="H322" s="97"/>
      <c r="I322" s="97"/>
      <c r="J322" s="97"/>
      <c r="K322" s="114"/>
    </row>
    <row r="323" spans="1:11" s="7" customFormat="1" ht="83.25" customHeight="1">
      <c r="A323" s="111" t="s">
        <v>271</v>
      </c>
      <c r="B323" s="65" t="s">
        <v>33</v>
      </c>
      <c r="C323" s="112">
        <f>SUM(C324:C325)</f>
        <v>28654.7</v>
      </c>
      <c r="D323" s="96">
        <f>SUM(D324:D325)</f>
        <v>3671.3</v>
      </c>
      <c r="E323" s="96">
        <f aca="true" t="shared" si="112" ref="E323:J323">SUM(E324:E325)</f>
        <v>9203.4</v>
      </c>
      <c r="F323" s="97">
        <f t="shared" si="112"/>
        <v>3683.4</v>
      </c>
      <c r="G323" s="97">
        <f t="shared" si="112"/>
        <v>6096.6</v>
      </c>
      <c r="H323" s="97">
        <f t="shared" si="112"/>
        <v>2000</v>
      </c>
      <c r="I323" s="97">
        <f t="shared" si="112"/>
        <v>2000</v>
      </c>
      <c r="J323" s="97">
        <f t="shared" si="112"/>
        <v>2000</v>
      </c>
      <c r="K323" s="114" t="s">
        <v>168</v>
      </c>
    </row>
    <row r="324" spans="1:11" s="7" customFormat="1" ht="15" customHeight="1">
      <c r="A324" s="111" t="s">
        <v>272</v>
      </c>
      <c r="B324" s="65" t="s">
        <v>7</v>
      </c>
      <c r="C324" s="112">
        <f>SUM(D324:J324)</f>
        <v>17491.7</v>
      </c>
      <c r="D324" s="96">
        <v>2000</v>
      </c>
      <c r="E324" s="96">
        <f>2000+1001.7+1600</f>
        <v>4601.7</v>
      </c>
      <c r="F324" s="97">
        <f>2000-158.3</f>
        <v>1841.7</v>
      </c>
      <c r="G324" s="97">
        <f>2000+1048.3</f>
        <v>3048.3</v>
      </c>
      <c r="H324" s="97">
        <v>2000</v>
      </c>
      <c r="I324" s="97">
        <v>2000</v>
      </c>
      <c r="J324" s="97">
        <v>2000</v>
      </c>
      <c r="K324" s="114"/>
    </row>
    <row r="325" spans="1:11" s="7" customFormat="1" ht="15" customHeight="1">
      <c r="A325" s="111" t="s">
        <v>273</v>
      </c>
      <c r="B325" s="68" t="s">
        <v>9</v>
      </c>
      <c r="C325" s="112">
        <f>SUM(D325:J325)</f>
        <v>11163</v>
      </c>
      <c r="D325" s="96">
        <f>1671.4-0.1</f>
        <v>1671.3000000000002</v>
      </c>
      <c r="E325" s="96">
        <f>4601.7</f>
        <v>4601.7</v>
      </c>
      <c r="F325" s="97">
        <f>1841.7</f>
        <v>1841.7</v>
      </c>
      <c r="G325" s="97">
        <f>3048.3</f>
        <v>3048.3</v>
      </c>
      <c r="H325" s="97"/>
      <c r="I325" s="97"/>
      <c r="J325" s="97"/>
      <c r="K325" s="114"/>
    </row>
    <row r="326" spans="1:11" s="7" customFormat="1" ht="15" customHeight="1">
      <c r="A326" s="111"/>
      <c r="B326" s="68"/>
      <c r="C326" s="112"/>
      <c r="D326" s="96"/>
      <c r="E326" s="96"/>
      <c r="F326" s="97"/>
      <c r="G326" s="97"/>
      <c r="H326" s="97"/>
      <c r="I326" s="97"/>
      <c r="J326" s="97"/>
      <c r="K326" s="114"/>
    </row>
    <row r="327" spans="1:11" s="7" customFormat="1" ht="50.25" customHeight="1">
      <c r="A327" s="111" t="s">
        <v>274</v>
      </c>
      <c r="B327" s="65" t="s">
        <v>38</v>
      </c>
      <c r="C327" s="112">
        <f>SUM(C328)</f>
        <v>13208.3</v>
      </c>
      <c r="D327" s="96">
        <f aca="true" t="shared" si="113" ref="D327:J327">SUM(D328:D328)</f>
        <v>1600</v>
      </c>
      <c r="E327" s="96">
        <f t="shared" si="113"/>
        <v>1450</v>
      </c>
      <c r="F327" s="97">
        <f t="shared" si="113"/>
        <v>2158.3</v>
      </c>
      <c r="G327" s="97">
        <f t="shared" si="113"/>
        <v>2000</v>
      </c>
      <c r="H327" s="97">
        <f t="shared" si="113"/>
        <v>2000</v>
      </c>
      <c r="I327" s="97">
        <f t="shared" si="113"/>
        <v>2000</v>
      </c>
      <c r="J327" s="97">
        <f t="shared" si="113"/>
        <v>2000</v>
      </c>
      <c r="K327" s="114" t="s">
        <v>183</v>
      </c>
    </row>
    <row r="328" spans="1:11" s="7" customFormat="1" ht="15" customHeight="1">
      <c r="A328" s="111" t="s">
        <v>275</v>
      </c>
      <c r="B328" s="65" t="s">
        <v>7</v>
      </c>
      <c r="C328" s="112">
        <f>SUM(D328:J328)</f>
        <v>13208.3</v>
      </c>
      <c r="D328" s="96">
        <f>2000-400</f>
        <v>1600</v>
      </c>
      <c r="E328" s="96">
        <v>1450</v>
      </c>
      <c r="F328" s="97">
        <f>2000+158.3</f>
        <v>2158.3</v>
      </c>
      <c r="G328" s="97">
        <v>2000</v>
      </c>
      <c r="H328" s="97">
        <v>2000</v>
      </c>
      <c r="I328" s="97">
        <v>2000</v>
      </c>
      <c r="J328" s="97">
        <v>2000</v>
      </c>
      <c r="K328" s="114"/>
    </row>
    <row r="329" spans="1:11" s="5" customFormat="1" ht="15" customHeight="1">
      <c r="A329" s="111"/>
      <c r="B329" s="65"/>
      <c r="C329" s="112"/>
      <c r="D329" s="96"/>
      <c r="E329" s="96"/>
      <c r="F329" s="97"/>
      <c r="G329" s="97"/>
      <c r="H329" s="97"/>
      <c r="I329" s="97"/>
      <c r="J329" s="97"/>
      <c r="K329" s="114"/>
    </row>
    <row r="330" spans="1:11" s="7" customFormat="1" ht="50.25" customHeight="1">
      <c r="A330" s="111" t="s">
        <v>276</v>
      </c>
      <c r="B330" s="65" t="s">
        <v>34</v>
      </c>
      <c r="C330" s="112">
        <f>SUM(C331:C332)</f>
        <v>107915.026</v>
      </c>
      <c r="D330" s="96">
        <f>SUM(D331:D332)</f>
        <v>14317.66</v>
      </c>
      <c r="E330" s="96">
        <f aca="true" t="shared" si="114" ref="E330:J330">SUM(E331:E332)</f>
        <v>15015.466</v>
      </c>
      <c r="F330" s="97">
        <f t="shared" si="114"/>
        <v>15947.3</v>
      </c>
      <c r="G330" s="97">
        <f t="shared" si="114"/>
        <v>16639</v>
      </c>
      <c r="H330" s="97">
        <f t="shared" si="114"/>
        <v>15665.2</v>
      </c>
      <c r="I330" s="97">
        <f t="shared" si="114"/>
        <v>15665.2</v>
      </c>
      <c r="J330" s="97">
        <f t="shared" si="114"/>
        <v>14665.2</v>
      </c>
      <c r="K330" s="114" t="s">
        <v>329</v>
      </c>
    </row>
    <row r="331" spans="1:11" s="7" customFormat="1" ht="15" customHeight="1">
      <c r="A331" s="111" t="s">
        <v>277</v>
      </c>
      <c r="B331" s="65" t="s">
        <v>7</v>
      </c>
      <c r="C331" s="112">
        <f>SUM(D331:J331)</f>
        <v>34592.326</v>
      </c>
      <c r="D331" s="96">
        <v>4210.16</v>
      </c>
      <c r="E331" s="96">
        <f>4000+225.166</f>
        <v>4225.166</v>
      </c>
      <c r="F331" s="97">
        <f>4500+657</f>
        <v>5157</v>
      </c>
      <c r="G331" s="97">
        <v>5500</v>
      </c>
      <c r="H331" s="97">
        <v>5500</v>
      </c>
      <c r="I331" s="97">
        <v>5500</v>
      </c>
      <c r="J331" s="97">
        <v>4500</v>
      </c>
      <c r="K331" s="114"/>
    </row>
    <row r="332" spans="1:11" s="7" customFormat="1" ht="15" customHeight="1">
      <c r="A332" s="111" t="s">
        <v>278</v>
      </c>
      <c r="B332" s="65" t="s">
        <v>9</v>
      </c>
      <c r="C332" s="112">
        <f>SUM(D332:J332)</f>
        <v>73322.7</v>
      </c>
      <c r="D332" s="96">
        <v>10107.5</v>
      </c>
      <c r="E332" s="96">
        <v>10790.3</v>
      </c>
      <c r="F332" s="97">
        <f>10790.3</f>
        <v>10790.3</v>
      </c>
      <c r="G332" s="97">
        <v>11139</v>
      </c>
      <c r="H332" s="97">
        <v>10165.2</v>
      </c>
      <c r="I332" s="97">
        <v>10165.2</v>
      </c>
      <c r="J332" s="97">
        <v>10165.2</v>
      </c>
      <c r="K332" s="114"/>
    </row>
    <row r="333" spans="1:11" s="5" customFormat="1" ht="15" customHeight="1">
      <c r="A333" s="111"/>
      <c r="B333" s="65"/>
      <c r="C333" s="112"/>
      <c r="D333" s="96"/>
      <c r="E333" s="96"/>
      <c r="F333" s="97"/>
      <c r="G333" s="97"/>
      <c r="H333" s="97"/>
      <c r="I333" s="97"/>
      <c r="J333" s="97"/>
      <c r="K333" s="114"/>
    </row>
    <row r="334" spans="1:11" s="7" customFormat="1" ht="48" customHeight="1">
      <c r="A334" s="111" t="s">
        <v>279</v>
      </c>
      <c r="B334" s="65" t="s">
        <v>39</v>
      </c>
      <c r="C334" s="112">
        <f>SUM(D334:J334)</f>
        <v>15984.821</v>
      </c>
      <c r="D334" s="96">
        <f>SUM(D335:D336)</f>
        <v>1699.99</v>
      </c>
      <c r="E334" s="96">
        <f aca="true" t="shared" si="115" ref="E334:J334">SUM(E335:E336)</f>
        <v>3668.331</v>
      </c>
      <c r="F334" s="97">
        <f t="shared" si="115"/>
        <v>2110.6</v>
      </c>
      <c r="G334" s="97">
        <f t="shared" si="115"/>
        <v>2208.2</v>
      </c>
      <c r="H334" s="97">
        <f t="shared" si="115"/>
        <v>2410.2</v>
      </c>
      <c r="I334" s="97">
        <f t="shared" si="115"/>
        <v>2457.5</v>
      </c>
      <c r="J334" s="97">
        <f t="shared" si="115"/>
        <v>1430</v>
      </c>
      <c r="K334" s="114" t="s">
        <v>168</v>
      </c>
    </row>
    <row r="335" spans="1:11" s="7" customFormat="1" ht="15" customHeight="1">
      <c r="A335" s="111" t="s">
        <v>280</v>
      </c>
      <c r="B335" s="65" t="s">
        <v>7</v>
      </c>
      <c r="C335" s="112">
        <f>SUM(D335:J335)</f>
        <v>14446.49</v>
      </c>
      <c r="D335" s="96">
        <v>1699.99</v>
      </c>
      <c r="E335" s="96">
        <f>1950+120+60</f>
        <v>2130</v>
      </c>
      <c r="F335" s="97">
        <v>2110.6</v>
      </c>
      <c r="G335" s="97">
        <v>2208.2</v>
      </c>
      <c r="H335" s="97">
        <v>2410.2</v>
      </c>
      <c r="I335" s="97">
        <v>2457.5</v>
      </c>
      <c r="J335" s="97">
        <v>1430</v>
      </c>
      <c r="K335" s="114"/>
    </row>
    <row r="336" spans="1:11" s="7" customFormat="1" ht="15" customHeight="1">
      <c r="A336" s="111" t="s">
        <v>281</v>
      </c>
      <c r="B336" s="65" t="s">
        <v>9</v>
      </c>
      <c r="C336" s="112">
        <f>SUM(D336:J336)</f>
        <v>1538.331</v>
      </c>
      <c r="D336" s="96"/>
      <c r="E336" s="96">
        <f>1538.331</f>
        <v>1538.331</v>
      </c>
      <c r="F336" s="97"/>
      <c r="G336" s="97"/>
      <c r="H336" s="97"/>
      <c r="I336" s="97"/>
      <c r="J336" s="97"/>
      <c r="K336" s="114"/>
    </row>
    <row r="337" spans="1:11" s="5" customFormat="1" ht="15" customHeight="1">
      <c r="A337" s="93"/>
      <c r="B337" s="65"/>
      <c r="C337" s="97"/>
      <c r="D337" s="96"/>
      <c r="E337" s="96"/>
      <c r="F337" s="97"/>
      <c r="G337" s="97"/>
      <c r="H337" s="97"/>
      <c r="I337" s="97"/>
      <c r="J337" s="97"/>
      <c r="K337" s="114"/>
    </row>
    <row r="338" spans="1:11" s="4" customFormat="1" ht="30.75" customHeight="1">
      <c r="A338" s="107"/>
      <c r="B338" s="108" t="s">
        <v>57</v>
      </c>
      <c r="C338" s="109"/>
      <c r="D338" s="109"/>
      <c r="E338" s="109"/>
      <c r="F338" s="109"/>
      <c r="G338" s="109"/>
      <c r="H338" s="109"/>
      <c r="I338" s="109"/>
      <c r="J338" s="109"/>
      <c r="K338" s="110"/>
    </row>
    <row r="339" spans="1:13" s="5" customFormat="1" ht="15.75">
      <c r="A339" s="111" t="s">
        <v>282</v>
      </c>
      <c r="B339" s="65" t="s">
        <v>40</v>
      </c>
      <c r="C339" s="97">
        <f aca="true" t="shared" si="116" ref="C339:J339">SUM(C340:C342)</f>
        <v>227914.15469000002</v>
      </c>
      <c r="D339" s="96">
        <f t="shared" si="116"/>
        <v>30652.593</v>
      </c>
      <c r="E339" s="96">
        <f t="shared" si="116"/>
        <v>28375.639000000003</v>
      </c>
      <c r="F339" s="97">
        <f t="shared" si="116"/>
        <v>33999.6861</v>
      </c>
      <c r="G339" s="97">
        <f t="shared" si="116"/>
        <v>32178.536590000003</v>
      </c>
      <c r="H339" s="97">
        <f t="shared" si="116"/>
        <v>34141.6</v>
      </c>
      <c r="I339" s="97">
        <f t="shared" si="116"/>
        <v>34976.1</v>
      </c>
      <c r="J339" s="97">
        <f t="shared" si="116"/>
        <v>33590</v>
      </c>
      <c r="K339" s="114"/>
      <c r="L339" s="52">
        <f>SUM(L340:L343)</f>
        <v>32232.23659</v>
      </c>
      <c r="M339" s="52">
        <f>SUM(M340:M343)</f>
        <v>-53.69999999999709</v>
      </c>
    </row>
    <row r="340" spans="1:13" s="5" customFormat="1" ht="15" customHeight="1">
      <c r="A340" s="111" t="s">
        <v>283</v>
      </c>
      <c r="B340" s="65" t="s">
        <v>7</v>
      </c>
      <c r="C340" s="112">
        <f>SUM(D340:J340)</f>
        <v>227164.15469000002</v>
      </c>
      <c r="D340" s="96">
        <f>SUM(D346+D364)</f>
        <v>29902.593</v>
      </c>
      <c r="E340" s="96">
        <f aca="true" t="shared" si="117" ref="E340:J340">SUM(E346+E364)</f>
        <v>28375.639000000003</v>
      </c>
      <c r="F340" s="97">
        <f t="shared" si="117"/>
        <v>33999.6861</v>
      </c>
      <c r="G340" s="97">
        <f t="shared" si="117"/>
        <v>32178.536590000003</v>
      </c>
      <c r="H340" s="97">
        <f t="shared" si="117"/>
        <v>34141.6</v>
      </c>
      <c r="I340" s="97">
        <f t="shared" si="117"/>
        <v>34976.1</v>
      </c>
      <c r="J340" s="97">
        <f t="shared" si="117"/>
        <v>33590</v>
      </c>
      <c r="K340" s="114"/>
      <c r="L340" s="57">
        <v>32232.23659</v>
      </c>
      <c r="M340" s="57">
        <f>G340-L340</f>
        <v>-53.69999999999709</v>
      </c>
    </row>
    <row r="341" spans="1:13" s="5" customFormat="1" ht="15" customHeight="1">
      <c r="A341" s="111" t="s">
        <v>284</v>
      </c>
      <c r="B341" s="65" t="s">
        <v>8</v>
      </c>
      <c r="C341" s="112">
        <f>SUM(D341:J341)</f>
        <v>0</v>
      </c>
      <c r="D341" s="96"/>
      <c r="E341" s="96"/>
      <c r="F341" s="97"/>
      <c r="G341" s="97"/>
      <c r="H341" s="97"/>
      <c r="I341" s="97"/>
      <c r="J341" s="97"/>
      <c r="K341" s="114"/>
      <c r="L341" s="57"/>
      <c r="M341" s="57"/>
    </row>
    <row r="342" spans="1:11" s="5" customFormat="1" ht="15" customHeight="1">
      <c r="A342" s="111" t="s">
        <v>285</v>
      </c>
      <c r="B342" s="65" t="s">
        <v>9</v>
      </c>
      <c r="C342" s="112">
        <f>SUM(D342:J342)</f>
        <v>750</v>
      </c>
      <c r="D342" s="96">
        <f>SUM(D348)</f>
        <v>750</v>
      </c>
      <c r="E342" s="96">
        <f aca="true" t="shared" si="118" ref="E342:J342">SUM(E348)</f>
        <v>0</v>
      </c>
      <c r="F342" s="97">
        <f t="shared" si="118"/>
        <v>0</v>
      </c>
      <c r="G342" s="97">
        <f t="shared" si="118"/>
        <v>0</v>
      </c>
      <c r="H342" s="97">
        <f t="shared" si="118"/>
        <v>0</v>
      </c>
      <c r="I342" s="97">
        <f t="shared" si="118"/>
        <v>0</v>
      </c>
      <c r="J342" s="97">
        <f t="shared" si="118"/>
        <v>0</v>
      </c>
      <c r="K342" s="114"/>
    </row>
    <row r="343" spans="1:11" s="5" customFormat="1" ht="15" customHeight="1">
      <c r="A343" s="111"/>
      <c r="B343" s="65"/>
      <c r="C343" s="112"/>
      <c r="D343" s="96"/>
      <c r="E343" s="96"/>
      <c r="F343" s="97"/>
      <c r="G343" s="97"/>
      <c r="H343" s="97"/>
      <c r="I343" s="97"/>
      <c r="J343" s="97"/>
      <c r="K343" s="114"/>
    </row>
    <row r="344" spans="1:11" s="5" customFormat="1" ht="15" customHeight="1">
      <c r="A344" s="107"/>
      <c r="B344" s="108" t="s">
        <v>11</v>
      </c>
      <c r="C344" s="109"/>
      <c r="D344" s="109"/>
      <c r="E344" s="109"/>
      <c r="F344" s="109"/>
      <c r="G344" s="109"/>
      <c r="H344" s="109"/>
      <c r="I344" s="109"/>
      <c r="J344" s="109"/>
      <c r="K344" s="110"/>
    </row>
    <row r="345" spans="1:11" s="5" customFormat="1" ht="20.25" customHeight="1">
      <c r="A345" s="111" t="s">
        <v>286</v>
      </c>
      <c r="B345" s="65" t="s">
        <v>32</v>
      </c>
      <c r="C345" s="112">
        <f aca="true" t="shared" si="119" ref="C345:J345">SUM(C346:C348)</f>
        <v>4100</v>
      </c>
      <c r="D345" s="116">
        <f>SUM(D346:D348)</f>
        <v>1500</v>
      </c>
      <c r="E345" s="116">
        <f>SUM(E346:E348)</f>
        <v>0</v>
      </c>
      <c r="F345" s="112">
        <f t="shared" si="119"/>
        <v>0</v>
      </c>
      <c r="G345" s="112">
        <f t="shared" si="119"/>
        <v>0</v>
      </c>
      <c r="H345" s="112">
        <f t="shared" si="119"/>
        <v>0</v>
      </c>
      <c r="I345" s="112">
        <f t="shared" si="119"/>
        <v>1100</v>
      </c>
      <c r="J345" s="112">
        <f t="shared" si="119"/>
        <v>1500</v>
      </c>
      <c r="K345" s="114"/>
    </row>
    <row r="346" spans="1:11" s="5" customFormat="1" ht="15" customHeight="1">
      <c r="A346" s="111" t="s">
        <v>287</v>
      </c>
      <c r="B346" s="65" t="s">
        <v>7</v>
      </c>
      <c r="C346" s="112">
        <f>SUM(D346:J346)</f>
        <v>3350</v>
      </c>
      <c r="D346" s="96">
        <f aca="true" t="shared" si="120" ref="D346:J346">SUM(D352+D356+D359)</f>
        <v>750</v>
      </c>
      <c r="E346" s="96">
        <f t="shared" si="120"/>
        <v>0</v>
      </c>
      <c r="F346" s="97">
        <f t="shared" si="120"/>
        <v>0</v>
      </c>
      <c r="G346" s="97">
        <f t="shared" si="120"/>
        <v>0</v>
      </c>
      <c r="H346" s="97">
        <f t="shared" si="120"/>
        <v>0</v>
      </c>
      <c r="I346" s="97">
        <f t="shared" si="120"/>
        <v>1100</v>
      </c>
      <c r="J346" s="97">
        <f t="shared" si="120"/>
        <v>1500</v>
      </c>
      <c r="K346" s="114"/>
    </row>
    <row r="347" spans="1:11" s="5" customFormat="1" ht="15" customHeight="1">
      <c r="A347" s="111" t="s">
        <v>288</v>
      </c>
      <c r="B347" s="65" t="s">
        <v>8</v>
      </c>
      <c r="C347" s="112">
        <f>SUM(D347:J347)</f>
        <v>0</v>
      </c>
      <c r="D347" s="96"/>
      <c r="E347" s="96"/>
      <c r="F347" s="97"/>
      <c r="G347" s="97"/>
      <c r="H347" s="97"/>
      <c r="I347" s="97"/>
      <c r="J347" s="97"/>
      <c r="K347" s="114"/>
    </row>
    <row r="348" spans="1:11" s="5" customFormat="1" ht="15" customHeight="1">
      <c r="A348" s="111" t="s">
        <v>289</v>
      </c>
      <c r="B348" s="65" t="s">
        <v>9</v>
      </c>
      <c r="C348" s="112">
        <f>SUM(D348:J348)</f>
        <v>750</v>
      </c>
      <c r="D348" s="96">
        <f>SUM(D360)</f>
        <v>750</v>
      </c>
      <c r="E348" s="96">
        <f aca="true" t="shared" si="121" ref="E348:J348">SUM(E360)</f>
        <v>0</v>
      </c>
      <c r="F348" s="97">
        <f t="shared" si="121"/>
        <v>0</v>
      </c>
      <c r="G348" s="97">
        <f t="shared" si="121"/>
        <v>0</v>
      </c>
      <c r="H348" s="97">
        <f t="shared" si="121"/>
        <v>0</v>
      </c>
      <c r="I348" s="97">
        <f t="shared" si="121"/>
        <v>0</v>
      </c>
      <c r="J348" s="97">
        <f t="shared" si="121"/>
        <v>0</v>
      </c>
      <c r="K348" s="114"/>
    </row>
    <row r="349" spans="1:11" s="5" customFormat="1" ht="15" customHeight="1">
      <c r="A349" s="93"/>
      <c r="B349" s="94"/>
      <c r="C349" s="112"/>
      <c r="D349" s="96"/>
      <c r="E349" s="96"/>
      <c r="F349" s="97"/>
      <c r="G349" s="97"/>
      <c r="H349" s="97"/>
      <c r="I349" s="97"/>
      <c r="J349" s="97"/>
      <c r="K349" s="114"/>
    </row>
    <row r="350" spans="1:11" s="5" customFormat="1" ht="15" customHeight="1">
      <c r="A350" s="107"/>
      <c r="B350" s="108" t="s">
        <v>12</v>
      </c>
      <c r="C350" s="109"/>
      <c r="D350" s="109"/>
      <c r="E350" s="109"/>
      <c r="F350" s="109"/>
      <c r="G350" s="109"/>
      <c r="H350" s="109"/>
      <c r="I350" s="109"/>
      <c r="J350" s="109"/>
      <c r="K350" s="110"/>
    </row>
    <row r="351" spans="1:11" s="5" customFormat="1" ht="48.75" customHeight="1">
      <c r="A351" s="111" t="s">
        <v>290</v>
      </c>
      <c r="B351" s="65" t="s">
        <v>102</v>
      </c>
      <c r="C351" s="112">
        <v>0</v>
      </c>
      <c r="D351" s="96">
        <f>SUM(D352:D353)</f>
        <v>0</v>
      </c>
      <c r="E351" s="96">
        <f aca="true" t="shared" si="122" ref="E351:J351">SUM(E352:E353)</f>
        <v>0</v>
      </c>
      <c r="F351" s="97">
        <f t="shared" si="122"/>
        <v>0</v>
      </c>
      <c r="G351" s="97">
        <f t="shared" si="122"/>
        <v>0</v>
      </c>
      <c r="H351" s="97">
        <f t="shared" si="122"/>
        <v>0</v>
      </c>
      <c r="I351" s="97">
        <f t="shared" si="122"/>
        <v>0</v>
      </c>
      <c r="J351" s="97">
        <f t="shared" si="122"/>
        <v>0</v>
      </c>
      <c r="K351" s="114"/>
    </row>
    <row r="352" spans="1:11" s="5" customFormat="1" ht="15" customHeight="1">
      <c r="A352" s="111" t="s">
        <v>291</v>
      </c>
      <c r="B352" s="65" t="s">
        <v>7</v>
      </c>
      <c r="C352" s="112">
        <f>SUM(D352:J352)</f>
        <v>0</v>
      </c>
      <c r="D352" s="96"/>
      <c r="E352" s="96"/>
      <c r="F352" s="97"/>
      <c r="G352" s="97"/>
      <c r="H352" s="97"/>
      <c r="I352" s="97"/>
      <c r="J352" s="97"/>
      <c r="K352" s="114"/>
    </row>
    <row r="353" spans="1:11" s="5" customFormat="1" ht="15" customHeight="1">
      <c r="A353" s="111"/>
      <c r="B353" s="65"/>
      <c r="C353" s="116"/>
      <c r="D353" s="96"/>
      <c r="E353" s="96"/>
      <c r="F353" s="97"/>
      <c r="G353" s="97"/>
      <c r="H353" s="97"/>
      <c r="I353" s="97"/>
      <c r="J353" s="97"/>
      <c r="K353" s="114"/>
    </row>
    <row r="354" spans="1:11" s="5" customFormat="1" ht="15" customHeight="1">
      <c r="A354" s="107"/>
      <c r="B354" s="108" t="s">
        <v>23</v>
      </c>
      <c r="C354" s="109"/>
      <c r="D354" s="109"/>
      <c r="E354" s="109"/>
      <c r="F354" s="109"/>
      <c r="G354" s="109"/>
      <c r="H354" s="109"/>
      <c r="I354" s="109"/>
      <c r="J354" s="109"/>
      <c r="K354" s="110"/>
    </row>
    <row r="355" spans="1:11" s="7" customFormat="1" ht="51.75" customHeight="1">
      <c r="A355" s="111" t="s">
        <v>292</v>
      </c>
      <c r="B355" s="65" t="s">
        <v>42</v>
      </c>
      <c r="C355" s="112">
        <f>SUM(D355:J355)</f>
        <v>1100</v>
      </c>
      <c r="D355" s="96">
        <f>SUM(D356)</f>
        <v>0</v>
      </c>
      <c r="E355" s="96">
        <f aca="true" t="shared" si="123" ref="E355:J355">SUM(E356)</f>
        <v>0</v>
      </c>
      <c r="F355" s="97">
        <f t="shared" si="123"/>
        <v>0</v>
      </c>
      <c r="G355" s="97">
        <f t="shared" si="123"/>
        <v>0</v>
      </c>
      <c r="H355" s="97">
        <f t="shared" si="123"/>
        <v>0</v>
      </c>
      <c r="I355" s="97">
        <f t="shared" si="123"/>
        <v>1100</v>
      </c>
      <c r="J355" s="97">
        <f t="shared" si="123"/>
        <v>0</v>
      </c>
      <c r="K355" s="114" t="s">
        <v>184</v>
      </c>
    </row>
    <row r="356" spans="1:11" s="7" customFormat="1" ht="15" customHeight="1">
      <c r="A356" s="111" t="s">
        <v>293</v>
      </c>
      <c r="B356" s="65" t="s">
        <v>7</v>
      </c>
      <c r="C356" s="112">
        <f>SUM(D356:J356)</f>
        <v>1100</v>
      </c>
      <c r="D356" s="96"/>
      <c r="E356" s="96"/>
      <c r="F356" s="97"/>
      <c r="G356" s="97"/>
      <c r="H356" s="97"/>
      <c r="I356" s="97">
        <v>1100</v>
      </c>
      <c r="J356" s="97"/>
      <c r="K356" s="114"/>
    </row>
    <row r="357" spans="1:11" s="5" customFormat="1" ht="15" customHeight="1">
      <c r="A357" s="111"/>
      <c r="B357" s="65"/>
      <c r="C357" s="112"/>
      <c r="D357" s="96"/>
      <c r="E357" s="96"/>
      <c r="F357" s="97"/>
      <c r="G357" s="97"/>
      <c r="H357" s="97"/>
      <c r="I357" s="97"/>
      <c r="J357" s="97"/>
      <c r="K357" s="114"/>
    </row>
    <row r="358" spans="1:11" s="7" customFormat="1" ht="79.5" customHeight="1">
      <c r="A358" s="111" t="s">
        <v>294</v>
      </c>
      <c r="B358" s="65" t="s">
        <v>52</v>
      </c>
      <c r="C358" s="97">
        <f>SUM(C359:C360)</f>
        <v>3000</v>
      </c>
      <c r="D358" s="96">
        <f>SUM(D359:D360)</f>
        <v>1500</v>
      </c>
      <c r="E358" s="96">
        <f aca="true" t="shared" si="124" ref="E358:J358">SUM(E359:E360)</f>
        <v>0</v>
      </c>
      <c r="F358" s="97">
        <f t="shared" si="124"/>
        <v>0</v>
      </c>
      <c r="G358" s="97">
        <f t="shared" si="124"/>
        <v>0</v>
      </c>
      <c r="H358" s="97">
        <f t="shared" si="124"/>
        <v>0</v>
      </c>
      <c r="I358" s="97">
        <f t="shared" si="124"/>
        <v>0</v>
      </c>
      <c r="J358" s="97">
        <f t="shared" si="124"/>
        <v>1500</v>
      </c>
      <c r="K358" s="114" t="s">
        <v>185</v>
      </c>
    </row>
    <row r="359" spans="1:11" s="7" customFormat="1" ht="15.75">
      <c r="A359" s="111" t="s">
        <v>295</v>
      </c>
      <c r="B359" s="65" t="s">
        <v>7</v>
      </c>
      <c r="C359" s="112">
        <f>SUM(D359:J359)</f>
        <v>2250</v>
      </c>
      <c r="D359" s="96">
        <f>700+50</f>
        <v>750</v>
      </c>
      <c r="E359" s="96"/>
      <c r="F359" s="97"/>
      <c r="G359" s="97">
        <f>1505-1505</f>
        <v>0</v>
      </c>
      <c r="H359" s="97"/>
      <c r="I359" s="97"/>
      <c r="J359" s="97">
        <v>1500</v>
      </c>
      <c r="K359" s="114"/>
    </row>
    <row r="360" spans="1:11" s="7" customFormat="1" ht="15" customHeight="1">
      <c r="A360" s="111" t="s">
        <v>296</v>
      </c>
      <c r="B360" s="65" t="s">
        <v>9</v>
      </c>
      <c r="C360" s="112">
        <f>SUM(D360:J360)</f>
        <v>750</v>
      </c>
      <c r="D360" s="96">
        <f>750</f>
        <v>750</v>
      </c>
      <c r="E360" s="96"/>
      <c r="F360" s="97"/>
      <c r="G360" s="97"/>
      <c r="H360" s="97"/>
      <c r="I360" s="97"/>
      <c r="J360" s="97"/>
      <c r="K360" s="114"/>
    </row>
    <row r="361" spans="1:11" s="5" customFormat="1" ht="15" customHeight="1">
      <c r="A361" s="111"/>
      <c r="B361" s="66"/>
      <c r="C361" s="116"/>
      <c r="D361" s="96"/>
      <c r="E361" s="96"/>
      <c r="F361" s="97"/>
      <c r="G361" s="97"/>
      <c r="H361" s="97"/>
      <c r="I361" s="97"/>
      <c r="J361" s="97"/>
      <c r="K361" s="114"/>
    </row>
    <row r="362" spans="1:11" s="5" customFormat="1" ht="15" customHeight="1">
      <c r="A362" s="107"/>
      <c r="B362" s="108" t="s">
        <v>15</v>
      </c>
      <c r="C362" s="109"/>
      <c r="D362" s="109"/>
      <c r="E362" s="109"/>
      <c r="F362" s="109"/>
      <c r="G362" s="109"/>
      <c r="H362" s="109"/>
      <c r="I362" s="109"/>
      <c r="J362" s="109"/>
      <c r="K362" s="110"/>
    </row>
    <row r="363" spans="1:11" s="5" customFormat="1" ht="15.75">
      <c r="A363" s="111" t="s">
        <v>297</v>
      </c>
      <c r="B363" s="65" t="s">
        <v>16</v>
      </c>
      <c r="C363" s="112">
        <f>SUM(C364)</f>
        <v>223814.15469000002</v>
      </c>
      <c r="D363" s="96">
        <f>SUM(D364:D364)</f>
        <v>29152.593</v>
      </c>
      <c r="E363" s="96">
        <f aca="true" t="shared" si="125" ref="E363:J363">SUM(E364:E364)</f>
        <v>28375.639000000003</v>
      </c>
      <c r="F363" s="97">
        <f t="shared" si="125"/>
        <v>33999.6861</v>
      </c>
      <c r="G363" s="97">
        <f t="shared" si="125"/>
        <v>32178.536590000003</v>
      </c>
      <c r="H363" s="97">
        <f t="shared" si="125"/>
        <v>34141.6</v>
      </c>
      <c r="I363" s="97">
        <f t="shared" si="125"/>
        <v>33876.1</v>
      </c>
      <c r="J363" s="97">
        <f t="shared" si="125"/>
        <v>32090</v>
      </c>
      <c r="K363" s="114"/>
    </row>
    <row r="364" spans="1:11" s="5" customFormat="1" ht="15" customHeight="1">
      <c r="A364" s="111" t="s">
        <v>298</v>
      </c>
      <c r="B364" s="65" t="s">
        <v>7</v>
      </c>
      <c r="C364" s="97">
        <f>SUM(D364:J364)</f>
        <v>223814.15469000002</v>
      </c>
      <c r="D364" s="96">
        <f>SUM(D367+D370+D385+D388+D391)</f>
        <v>29152.593</v>
      </c>
      <c r="E364" s="96">
        <f aca="true" t="shared" si="126" ref="E364:J364">SUM(E367+E370+E385+E388+E391)</f>
        <v>28375.639000000003</v>
      </c>
      <c r="F364" s="97">
        <f t="shared" si="126"/>
        <v>33999.6861</v>
      </c>
      <c r="G364" s="97">
        <f t="shared" si="126"/>
        <v>32178.536590000003</v>
      </c>
      <c r="H364" s="97">
        <f t="shared" si="126"/>
        <v>34141.6</v>
      </c>
      <c r="I364" s="97">
        <f t="shared" si="126"/>
        <v>33876.1</v>
      </c>
      <c r="J364" s="97">
        <f t="shared" si="126"/>
        <v>32090</v>
      </c>
      <c r="K364" s="114"/>
    </row>
    <row r="365" spans="1:11" s="5" customFormat="1" ht="15" customHeight="1">
      <c r="A365" s="111"/>
      <c r="B365" s="66"/>
      <c r="C365" s="112"/>
      <c r="D365" s="96"/>
      <c r="E365" s="96"/>
      <c r="F365" s="97"/>
      <c r="G365" s="97"/>
      <c r="H365" s="97"/>
      <c r="I365" s="97"/>
      <c r="J365" s="97"/>
      <c r="K365" s="114"/>
    </row>
    <row r="366" spans="1:11" s="7" customFormat="1" ht="63">
      <c r="A366" s="111" t="s">
        <v>299</v>
      </c>
      <c r="B366" s="65" t="s">
        <v>334</v>
      </c>
      <c r="C366" s="112">
        <f>SUM(C367)</f>
        <v>26258.23569</v>
      </c>
      <c r="D366" s="96">
        <f>SUM(D367)</f>
        <v>3600</v>
      </c>
      <c r="E366" s="96">
        <f aca="true" t="shared" si="127" ref="E366:J366">SUM(E367)</f>
        <v>3613</v>
      </c>
      <c r="F366" s="97">
        <f t="shared" si="127"/>
        <v>3778.1861</v>
      </c>
      <c r="G366" s="97">
        <f t="shared" si="127"/>
        <v>3662.94959</v>
      </c>
      <c r="H366" s="97">
        <f t="shared" si="127"/>
        <v>3772.2000000000003</v>
      </c>
      <c r="I366" s="97">
        <f t="shared" si="127"/>
        <v>3831.9</v>
      </c>
      <c r="J366" s="97">
        <f t="shared" si="127"/>
        <v>4000</v>
      </c>
      <c r="K366" s="114" t="s">
        <v>186</v>
      </c>
    </row>
    <row r="367" spans="1:11" s="7" customFormat="1" ht="15" customHeight="1">
      <c r="A367" s="111" t="s">
        <v>300</v>
      </c>
      <c r="B367" s="65" t="s">
        <v>7</v>
      </c>
      <c r="C367" s="112">
        <f>SUM(D367:J367)</f>
        <v>26258.23569</v>
      </c>
      <c r="D367" s="96">
        <v>3600</v>
      </c>
      <c r="E367" s="96">
        <v>3613</v>
      </c>
      <c r="F367" s="97">
        <f>3681+105-7.8139</f>
        <v>3778.1861</v>
      </c>
      <c r="G367" s="97">
        <f>3390.3+83.97336+167.42923+21.247</f>
        <v>3662.94959</v>
      </c>
      <c r="H367" s="97">
        <f>3390.3+381.9</f>
        <v>3772.2000000000003</v>
      </c>
      <c r="I367" s="97">
        <f>3450+381.9</f>
        <v>3831.9</v>
      </c>
      <c r="J367" s="97">
        <v>4000</v>
      </c>
      <c r="K367" s="114"/>
    </row>
    <row r="368" spans="1:11" s="5" customFormat="1" ht="15" customHeight="1">
      <c r="A368" s="111"/>
      <c r="B368" s="65"/>
      <c r="C368" s="112"/>
      <c r="D368" s="96"/>
      <c r="E368" s="96"/>
      <c r="F368" s="97"/>
      <c r="G368" s="97"/>
      <c r="H368" s="97"/>
      <c r="I368" s="97"/>
      <c r="J368" s="97"/>
      <c r="K368" s="114"/>
    </row>
    <row r="369" spans="1:11" s="5" customFormat="1" ht="99" customHeight="1">
      <c r="A369" s="111" t="s">
        <v>301</v>
      </c>
      <c r="B369" s="65" t="s">
        <v>115</v>
      </c>
      <c r="C369" s="112">
        <f aca="true" t="shared" si="128" ref="C369:J369">SUM(C370)</f>
        <v>194864.8066</v>
      </c>
      <c r="D369" s="96">
        <f>SUM(D370)</f>
        <v>25048.73</v>
      </c>
      <c r="E369" s="96">
        <f t="shared" si="128"/>
        <v>24392.639000000003</v>
      </c>
      <c r="F369" s="97">
        <f t="shared" si="128"/>
        <v>29891.5</v>
      </c>
      <c r="G369" s="97">
        <f t="shared" si="128"/>
        <v>28348.337600000003</v>
      </c>
      <c r="H369" s="97">
        <f t="shared" si="128"/>
        <v>29929.4</v>
      </c>
      <c r="I369" s="97">
        <f t="shared" si="128"/>
        <v>29604.2</v>
      </c>
      <c r="J369" s="97">
        <f t="shared" si="128"/>
        <v>27650</v>
      </c>
      <c r="K369" s="114" t="s">
        <v>187</v>
      </c>
    </row>
    <row r="370" spans="1:11" s="5" customFormat="1" ht="15" customHeight="1">
      <c r="A370" s="111" t="s">
        <v>302</v>
      </c>
      <c r="B370" s="65" t="s">
        <v>7</v>
      </c>
      <c r="C370" s="112">
        <f>SUM(D370:J370)</f>
        <v>194864.8066</v>
      </c>
      <c r="D370" s="96">
        <f aca="true" t="shared" si="129" ref="D370:J370">SUM(D373+D376+D379+D382)</f>
        <v>25048.73</v>
      </c>
      <c r="E370" s="96">
        <f t="shared" si="129"/>
        <v>24392.639000000003</v>
      </c>
      <c r="F370" s="97">
        <f t="shared" si="129"/>
        <v>29891.5</v>
      </c>
      <c r="G370" s="97">
        <f t="shared" si="129"/>
        <v>28348.337600000003</v>
      </c>
      <c r="H370" s="97">
        <f t="shared" si="129"/>
        <v>29929.4</v>
      </c>
      <c r="I370" s="97">
        <f t="shared" si="129"/>
        <v>29604.2</v>
      </c>
      <c r="J370" s="97">
        <f t="shared" si="129"/>
        <v>27650</v>
      </c>
      <c r="K370" s="114"/>
    </row>
    <row r="371" spans="1:11" s="5" customFormat="1" ht="15" customHeight="1">
      <c r="A371" s="111"/>
      <c r="B371" s="65"/>
      <c r="C371" s="112"/>
      <c r="D371" s="96"/>
      <c r="E371" s="96"/>
      <c r="F371" s="97"/>
      <c r="G371" s="97"/>
      <c r="H371" s="97"/>
      <c r="I371" s="97"/>
      <c r="J371" s="97"/>
      <c r="K371" s="114"/>
    </row>
    <row r="372" spans="1:11" s="7" customFormat="1" ht="33" customHeight="1">
      <c r="A372" s="111" t="s">
        <v>303</v>
      </c>
      <c r="B372" s="65" t="s">
        <v>116</v>
      </c>
      <c r="C372" s="112">
        <f aca="true" t="shared" si="130" ref="C372:J372">SUM(C373)</f>
        <v>17401.008</v>
      </c>
      <c r="D372" s="96">
        <f t="shared" si="130"/>
        <v>1933.73</v>
      </c>
      <c r="E372" s="96">
        <f t="shared" si="130"/>
        <v>2373</v>
      </c>
      <c r="F372" s="97">
        <f t="shared" si="130"/>
        <v>2055</v>
      </c>
      <c r="G372" s="97">
        <f t="shared" si="130"/>
        <v>2661.678</v>
      </c>
      <c r="H372" s="97">
        <f t="shared" si="130"/>
        <v>3016.1</v>
      </c>
      <c r="I372" s="97">
        <f t="shared" si="130"/>
        <v>3121.5</v>
      </c>
      <c r="J372" s="97">
        <f t="shared" si="130"/>
        <v>2240</v>
      </c>
      <c r="K372" s="114"/>
    </row>
    <row r="373" spans="1:11" s="7" customFormat="1" ht="15" customHeight="1">
      <c r="A373" s="111" t="s">
        <v>304</v>
      </c>
      <c r="B373" s="65" t="s">
        <v>7</v>
      </c>
      <c r="C373" s="112">
        <f>SUM(D373:J373)</f>
        <v>17401.008</v>
      </c>
      <c r="D373" s="96">
        <v>1933.73</v>
      </c>
      <c r="E373" s="96">
        <f>2043+250+80</f>
        <v>2373</v>
      </c>
      <c r="F373" s="97">
        <f>2605-550</f>
        <v>2055</v>
      </c>
      <c r="G373" s="97">
        <f>2548.6+113.078</f>
        <v>2661.678</v>
      </c>
      <c r="H373" s="97">
        <v>3016.1</v>
      </c>
      <c r="I373" s="97">
        <v>3121.5</v>
      </c>
      <c r="J373" s="97">
        <v>2240</v>
      </c>
      <c r="K373" s="114"/>
    </row>
    <row r="374" spans="1:11" s="5" customFormat="1" ht="15" customHeight="1">
      <c r="A374" s="111"/>
      <c r="B374" s="65"/>
      <c r="C374" s="112"/>
      <c r="D374" s="96"/>
      <c r="E374" s="96"/>
      <c r="F374" s="97"/>
      <c r="G374" s="97"/>
      <c r="H374" s="97"/>
      <c r="I374" s="97"/>
      <c r="J374" s="97"/>
      <c r="K374" s="114"/>
    </row>
    <row r="375" spans="1:11" s="7" customFormat="1" ht="34.5" customHeight="1">
      <c r="A375" s="111" t="s">
        <v>305</v>
      </c>
      <c r="B375" s="65" t="s">
        <v>117</v>
      </c>
      <c r="C375" s="112">
        <f aca="true" t="shared" si="131" ref="C375:J375">SUM(C376)</f>
        <v>220</v>
      </c>
      <c r="D375" s="96">
        <f t="shared" si="131"/>
        <v>0</v>
      </c>
      <c r="E375" s="96">
        <f t="shared" si="131"/>
        <v>220</v>
      </c>
      <c r="F375" s="97">
        <f t="shared" si="131"/>
        <v>0</v>
      </c>
      <c r="G375" s="97">
        <f t="shared" si="131"/>
        <v>0</v>
      </c>
      <c r="H375" s="97">
        <f t="shared" si="131"/>
        <v>0</v>
      </c>
      <c r="I375" s="97">
        <f t="shared" si="131"/>
        <v>0</v>
      </c>
      <c r="J375" s="97">
        <f t="shared" si="131"/>
        <v>0</v>
      </c>
      <c r="K375" s="114"/>
    </row>
    <row r="376" spans="1:11" s="7" customFormat="1" ht="15" customHeight="1">
      <c r="A376" s="111" t="s">
        <v>306</v>
      </c>
      <c r="B376" s="65" t="s">
        <v>7</v>
      </c>
      <c r="C376" s="112">
        <f>SUM(D376:J376)</f>
        <v>220</v>
      </c>
      <c r="D376" s="96">
        <f>140-140</f>
        <v>0</v>
      </c>
      <c r="E376" s="96">
        <f>279-59</f>
        <v>220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114"/>
    </row>
    <row r="377" spans="1:11" s="5" customFormat="1" ht="15" customHeight="1">
      <c r="A377" s="111"/>
      <c r="B377" s="65"/>
      <c r="C377" s="112"/>
      <c r="D377" s="96"/>
      <c r="E377" s="96"/>
      <c r="F377" s="97"/>
      <c r="G377" s="97"/>
      <c r="H377" s="97"/>
      <c r="I377" s="97"/>
      <c r="J377" s="97"/>
      <c r="K377" s="114"/>
    </row>
    <row r="378" spans="1:11" s="7" customFormat="1" ht="50.25" customHeight="1">
      <c r="A378" s="111" t="s">
        <v>307</v>
      </c>
      <c r="B378" s="65" t="s">
        <v>118</v>
      </c>
      <c r="C378" s="112">
        <f aca="true" t="shared" si="132" ref="C378:J378">SUM(C379)</f>
        <v>95469.08559999999</v>
      </c>
      <c r="D378" s="96">
        <f t="shared" si="132"/>
        <v>12833</v>
      </c>
      <c r="E378" s="96">
        <f t="shared" si="132"/>
        <v>11918.626</v>
      </c>
      <c r="F378" s="97">
        <f t="shared" si="132"/>
        <v>13908.9</v>
      </c>
      <c r="G378" s="97">
        <f t="shared" si="132"/>
        <v>13666.459600000002</v>
      </c>
      <c r="H378" s="97">
        <f t="shared" si="132"/>
        <v>13918.7</v>
      </c>
      <c r="I378" s="97">
        <f t="shared" si="132"/>
        <v>14313.4</v>
      </c>
      <c r="J378" s="97">
        <f t="shared" si="132"/>
        <v>14910</v>
      </c>
      <c r="K378" s="114"/>
    </row>
    <row r="379" spans="1:11" s="7" customFormat="1" ht="15" customHeight="1">
      <c r="A379" s="111" t="s">
        <v>308</v>
      </c>
      <c r="B379" s="65" t="s">
        <v>7</v>
      </c>
      <c r="C379" s="112">
        <f>SUM(D379:J379)</f>
        <v>95469.08559999999</v>
      </c>
      <c r="D379" s="96">
        <f>12743+90</f>
        <v>12833</v>
      </c>
      <c r="E379" s="96">
        <f>12201-277.9+245.5+0.026-250</f>
        <v>11918.626</v>
      </c>
      <c r="F379" s="97">
        <f>13569.4+169.5+170</f>
        <v>13908.9</v>
      </c>
      <c r="G379" s="97">
        <f>13431.2+126.209+109.0506</f>
        <v>13666.459600000002</v>
      </c>
      <c r="H379" s="97">
        <v>13918.7</v>
      </c>
      <c r="I379" s="97">
        <v>14313.4</v>
      </c>
      <c r="J379" s="97">
        <v>14910</v>
      </c>
      <c r="K379" s="114"/>
    </row>
    <row r="380" spans="1:11" s="5" customFormat="1" ht="15" customHeight="1">
      <c r="A380" s="111"/>
      <c r="B380" s="65"/>
      <c r="C380" s="112"/>
      <c r="D380" s="96"/>
      <c r="E380" s="96"/>
      <c r="F380" s="97"/>
      <c r="G380" s="97"/>
      <c r="H380" s="97"/>
      <c r="I380" s="97"/>
      <c r="J380" s="97"/>
      <c r="K380" s="114"/>
    </row>
    <row r="381" spans="1:11" s="7" customFormat="1" ht="48" customHeight="1">
      <c r="A381" s="111" t="s">
        <v>309</v>
      </c>
      <c r="B381" s="65" t="s">
        <v>119</v>
      </c>
      <c r="C381" s="112">
        <f aca="true" t="shared" si="133" ref="C381:J381">SUM(C382)</f>
        <v>81774.71299999999</v>
      </c>
      <c r="D381" s="96">
        <f t="shared" si="133"/>
        <v>10282</v>
      </c>
      <c r="E381" s="96">
        <f t="shared" si="133"/>
        <v>9881.013</v>
      </c>
      <c r="F381" s="97">
        <f t="shared" si="133"/>
        <v>13927.6</v>
      </c>
      <c r="G381" s="97">
        <f t="shared" si="133"/>
        <v>12020.2</v>
      </c>
      <c r="H381" s="97">
        <f t="shared" si="133"/>
        <v>12994.6</v>
      </c>
      <c r="I381" s="97">
        <f t="shared" si="133"/>
        <v>12169.3</v>
      </c>
      <c r="J381" s="97">
        <f t="shared" si="133"/>
        <v>10500</v>
      </c>
      <c r="K381" s="114"/>
    </row>
    <row r="382" spans="1:11" s="7" customFormat="1" ht="15" customHeight="1">
      <c r="A382" s="111" t="s">
        <v>310</v>
      </c>
      <c r="B382" s="65" t="s">
        <v>7</v>
      </c>
      <c r="C382" s="112">
        <f>SUM(D382:J382)</f>
        <v>81774.71299999999</v>
      </c>
      <c r="D382" s="96">
        <v>10282</v>
      </c>
      <c r="E382" s="96">
        <f>9977-15.987-80</f>
        <v>9881.013</v>
      </c>
      <c r="F382" s="97">
        <f>13927.6+1000-1000</f>
        <v>13927.6</v>
      </c>
      <c r="G382" s="97">
        <v>12020.2</v>
      </c>
      <c r="H382" s="97">
        <v>12994.6</v>
      </c>
      <c r="I382" s="97">
        <v>12169.3</v>
      </c>
      <c r="J382" s="97">
        <v>10500</v>
      </c>
      <c r="K382" s="114"/>
    </row>
    <row r="383" spans="1:11" s="5" customFormat="1" ht="15" customHeight="1">
      <c r="A383" s="111"/>
      <c r="B383" s="65"/>
      <c r="C383" s="112"/>
      <c r="D383" s="96"/>
      <c r="E383" s="96"/>
      <c r="F383" s="97"/>
      <c r="G383" s="97"/>
      <c r="H383" s="97"/>
      <c r="I383" s="97"/>
      <c r="J383" s="97"/>
      <c r="K383" s="114"/>
    </row>
    <row r="384" spans="1:11" s="7" customFormat="1" ht="36.75" customHeight="1">
      <c r="A384" s="111" t="s">
        <v>311</v>
      </c>
      <c r="B384" s="65" t="s">
        <v>120</v>
      </c>
      <c r="C384" s="112">
        <f aca="true" t="shared" si="134" ref="C384:J384">SUM(C385)</f>
        <v>2067.2493999999997</v>
      </c>
      <c r="D384" s="96">
        <f t="shared" si="134"/>
        <v>290</v>
      </c>
      <c r="E384" s="96">
        <f t="shared" si="134"/>
        <v>290</v>
      </c>
      <c r="F384" s="97">
        <f t="shared" si="134"/>
        <v>330</v>
      </c>
      <c r="G384" s="97">
        <f t="shared" si="134"/>
        <v>167.2494</v>
      </c>
      <c r="H384" s="97">
        <f t="shared" si="134"/>
        <v>330</v>
      </c>
      <c r="I384" s="97">
        <f t="shared" si="134"/>
        <v>330</v>
      </c>
      <c r="J384" s="97">
        <f t="shared" si="134"/>
        <v>330</v>
      </c>
      <c r="K384" s="114" t="s">
        <v>166</v>
      </c>
    </row>
    <row r="385" spans="1:11" s="7" customFormat="1" ht="15" customHeight="1">
      <c r="A385" s="111" t="s">
        <v>312</v>
      </c>
      <c r="B385" s="65" t="s">
        <v>7</v>
      </c>
      <c r="C385" s="112">
        <f>SUM(D385:J385)</f>
        <v>2067.2493999999997</v>
      </c>
      <c r="D385" s="96">
        <f>120+200-30</f>
        <v>290</v>
      </c>
      <c r="E385" s="96">
        <f>230+60</f>
        <v>290</v>
      </c>
      <c r="F385" s="97">
        <f>30+300</f>
        <v>330</v>
      </c>
      <c r="G385" s="97">
        <f>330-162.7506</f>
        <v>167.2494</v>
      </c>
      <c r="H385" s="97">
        <f>130+200</f>
        <v>330</v>
      </c>
      <c r="I385" s="97">
        <f>130+200</f>
        <v>330</v>
      </c>
      <c r="J385" s="97">
        <f>130+200</f>
        <v>330</v>
      </c>
      <c r="K385" s="114"/>
    </row>
    <row r="386" spans="1:11" s="5" customFormat="1" ht="15" customHeight="1">
      <c r="A386" s="111"/>
      <c r="B386" s="65"/>
      <c r="C386" s="112"/>
      <c r="D386" s="96"/>
      <c r="E386" s="96"/>
      <c r="F386" s="97"/>
      <c r="G386" s="97"/>
      <c r="H386" s="97"/>
      <c r="I386" s="97"/>
      <c r="J386" s="97"/>
      <c r="K386" s="114"/>
    </row>
    <row r="387" spans="1:11" s="7" customFormat="1" ht="81.75" customHeight="1">
      <c r="A387" s="111" t="s">
        <v>313</v>
      </c>
      <c r="B387" s="65" t="s">
        <v>121</v>
      </c>
      <c r="C387" s="112">
        <f aca="true" t="shared" si="135" ref="C387:J387">SUM(C388)</f>
        <v>313.863</v>
      </c>
      <c r="D387" s="96">
        <f t="shared" si="135"/>
        <v>133.863</v>
      </c>
      <c r="E387" s="96">
        <f t="shared" si="135"/>
        <v>0</v>
      </c>
      <c r="F387" s="97">
        <f t="shared" si="135"/>
        <v>0</v>
      </c>
      <c r="G387" s="97">
        <f t="shared" si="135"/>
        <v>0</v>
      </c>
      <c r="H387" s="97">
        <f t="shared" si="135"/>
        <v>60</v>
      </c>
      <c r="I387" s="97">
        <f t="shared" si="135"/>
        <v>60</v>
      </c>
      <c r="J387" s="97">
        <f t="shared" si="135"/>
        <v>60</v>
      </c>
      <c r="K387" s="114" t="s">
        <v>169</v>
      </c>
    </row>
    <row r="388" spans="1:11" s="7" customFormat="1" ht="15" customHeight="1">
      <c r="A388" s="111" t="s">
        <v>314</v>
      </c>
      <c r="B388" s="65" t="s">
        <v>7</v>
      </c>
      <c r="C388" s="112">
        <f>SUM(D388:J388)</f>
        <v>313.863</v>
      </c>
      <c r="D388" s="96">
        <v>133.863</v>
      </c>
      <c r="E388" s="96">
        <v>0</v>
      </c>
      <c r="F388" s="97">
        <v>0</v>
      </c>
      <c r="G388" s="97">
        <v>0</v>
      </c>
      <c r="H388" s="97">
        <v>60</v>
      </c>
      <c r="I388" s="97">
        <v>60</v>
      </c>
      <c r="J388" s="97">
        <v>60</v>
      </c>
      <c r="K388" s="114"/>
    </row>
    <row r="389" spans="1:11" s="7" customFormat="1" ht="15" customHeight="1">
      <c r="A389" s="111"/>
      <c r="B389" s="65"/>
      <c r="C389" s="112"/>
      <c r="D389" s="96"/>
      <c r="E389" s="96"/>
      <c r="F389" s="97"/>
      <c r="G389" s="97"/>
      <c r="H389" s="97"/>
      <c r="I389" s="97"/>
      <c r="J389" s="97"/>
      <c r="K389" s="114"/>
    </row>
    <row r="390" spans="1:11" s="7" customFormat="1" ht="35.25" customHeight="1">
      <c r="A390" s="111" t="s">
        <v>315</v>
      </c>
      <c r="B390" s="65" t="s">
        <v>122</v>
      </c>
      <c r="C390" s="112">
        <f>SUM(D390:J390)</f>
        <v>310</v>
      </c>
      <c r="D390" s="96">
        <f>SUM(D391)</f>
        <v>80</v>
      </c>
      <c r="E390" s="96">
        <f aca="true" t="shared" si="136" ref="E390:J390">SUM(E391)</f>
        <v>80</v>
      </c>
      <c r="F390" s="97">
        <f t="shared" si="136"/>
        <v>0</v>
      </c>
      <c r="G390" s="97">
        <f t="shared" si="136"/>
        <v>0</v>
      </c>
      <c r="H390" s="97">
        <f t="shared" si="136"/>
        <v>50</v>
      </c>
      <c r="I390" s="97">
        <f t="shared" si="136"/>
        <v>50</v>
      </c>
      <c r="J390" s="97">
        <f t="shared" si="136"/>
        <v>50</v>
      </c>
      <c r="K390" s="114" t="s">
        <v>170</v>
      </c>
    </row>
    <row r="391" spans="1:11" s="7" customFormat="1" ht="15.75" customHeight="1">
      <c r="A391" s="93" t="s">
        <v>316</v>
      </c>
      <c r="B391" s="65" t="s">
        <v>7</v>
      </c>
      <c r="C391" s="112">
        <f>SUM(D391:J391)</f>
        <v>310</v>
      </c>
      <c r="D391" s="96">
        <v>80</v>
      </c>
      <c r="E391" s="96">
        <f>200-120</f>
        <v>80</v>
      </c>
      <c r="F391" s="97">
        <v>0</v>
      </c>
      <c r="G391" s="97">
        <v>0</v>
      </c>
      <c r="H391" s="97">
        <v>50</v>
      </c>
      <c r="I391" s="97">
        <v>50</v>
      </c>
      <c r="J391" s="97">
        <v>50</v>
      </c>
      <c r="K391" s="114"/>
    </row>
    <row r="392" spans="1:11" s="5" customFormat="1" ht="15.75" customHeight="1">
      <c r="A392" s="93"/>
      <c r="B392" s="65"/>
      <c r="C392" s="112"/>
      <c r="D392" s="96"/>
      <c r="E392" s="96"/>
      <c r="F392" s="97"/>
      <c r="G392" s="97"/>
      <c r="H392" s="97"/>
      <c r="I392" s="97"/>
      <c r="J392" s="97"/>
      <c r="K392" s="114"/>
    </row>
    <row r="393" spans="1:11" s="4" customFormat="1" ht="15" customHeight="1">
      <c r="A393" s="107"/>
      <c r="B393" s="108" t="s">
        <v>68</v>
      </c>
      <c r="C393" s="109"/>
      <c r="D393" s="109"/>
      <c r="E393" s="109"/>
      <c r="F393" s="109"/>
      <c r="G393" s="109"/>
      <c r="H393" s="109"/>
      <c r="I393" s="109"/>
      <c r="J393" s="109"/>
      <c r="K393" s="110"/>
    </row>
    <row r="394" spans="1:11" s="5" customFormat="1" ht="15.75">
      <c r="A394" s="111" t="s">
        <v>317</v>
      </c>
      <c r="B394" s="65" t="s">
        <v>69</v>
      </c>
      <c r="C394" s="112">
        <f>SUM(C395:C398)</f>
        <v>184195</v>
      </c>
      <c r="D394" s="96">
        <f>SUM(D395:D398)</f>
        <v>0</v>
      </c>
      <c r="E394" s="96">
        <f aca="true" t="shared" si="137" ref="E394:J394">SUM(E395:E398)</f>
        <v>24014</v>
      </c>
      <c r="F394" s="97">
        <f t="shared" si="137"/>
        <v>30767</v>
      </c>
      <c r="G394" s="97">
        <f t="shared" si="137"/>
        <v>34042</v>
      </c>
      <c r="H394" s="97">
        <f t="shared" si="137"/>
        <v>34360</v>
      </c>
      <c r="I394" s="97">
        <f t="shared" si="137"/>
        <v>34330</v>
      </c>
      <c r="J394" s="97">
        <f t="shared" si="137"/>
        <v>26682</v>
      </c>
      <c r="K394" s="114"/>
    </row>
    <row r="395" spans="1:11" s="5" customFormat="1" ht="15" customHeight="1">
      <c r="A395" s="111" t="s">
        <v>318</v>
      </c>
      <c r="B395" s="65" t="s">
        <v>7</v>
      </c>
      <c r="C395" s="112">
        <f>SUM(D395:J395)</f>
        <v>760</v>
      </c>
      <c r="D395" s="96">
        <f aca="true" t="shared" si="138" ref="D395:J395">SUM(D401+D407)</f>
        <v>0</v>
      </c>
      <c r="E395" s="96">
        <f t="shared" si="138"/>
        <v>0</v>
      </c>
      <c r="F395" s="97">
        <f t="shared" si="138"/>
        <v>0</v>
      </c>
      <c r="G395" s="97">
        <f t="shared" si="138"/>
        <v>0</v>
      </c>
      <c r="H395" s="97">
        <f t="shared" si="138"/>
        <v>140</v>
      </c>
      <c r="I395" s="97">
        <f t="shared" si="138"/>
        <v>110</v>
      </c>
      <c r="J395" s="97">
        <f t="shared" si="138"/>
        <v>510</v>
      </c>
      <c r="K395" s="114"/>
    </row>
    <row r="396" spans="1:11" s="5" customFormat="1" ht="15" customHeight="1">
      <c r="A396" s="111" t="s">
        <v>319</v>
      </c>
      <c r="B396" s="65" t="s">
        <v>8</v>
      </c>
      <c r="C396" s="112">
        <f>SUM(D396:J396)</f>
        <v>0</v>
      </c>
      <c r="D396" s="96"/>
      <c r="E396" s="96"/>
      <c r="F396" s="97"/>
      <c r="G396" s="97"/>
      <c r="H396" s="97"/>
      <c r="I396" s="97"/>
      <c r="J396" s="97"/>
      <c r="K396" s="114"/>
    </row>
    <row r="397" spans="1:11" s="5" customFormat="1" ht="15" customHeight="1">
      <c r="A397" s="111" t="s">
        <v>320</v>
      </c>
      <c r="B397" s="65" t="s">
        <v>9</v>
      </c>
      <c r="C397" s="112">
        <f>SUM(D397:J397)</f>
        <v>183435</v>
      </c>
      <c r="D397" s="96">
        <f>SUM(D409)</f>
        <v>0</v>
      </c>
      <c r="E397" s="96">
        <f aca="true" t="shared" si="139" ref="E397:J397">SUM(E409)</f>
        <v>24014</v>
      </c>
      <c r="F397" s="97">
        <f t="shared" si="139"/>
        <v>30767</v>
      </c>
      <c r="G397" s="97">
        <f t="shared" si="139"/>
        <v>34042</v>
      </c>
      <c r="H397" s="97">
        <f t="shared" si="139"/>
        <v>34220</v>
      </c>
      <c r="I397" s="97">
        <f t="shared" si="139"/>
        <v>34220</v>
      </c>
      <c r="J397" s="97">
        <f t="shared" si="139"/>
        <v>26172</v>
      </c>
      <c r="K397" s="114"/>
    </row>
    <row r="398" spans="1:11" s="5" customFormat="1" ht="15" customHeight="1">
      <c r="A398" s="111" t="s">
        <v>321</v>
      </c>
      <c r="B398" s="65" t="s">
        <v>10</v>
      </c>
      <c r="C398" s="112">
        <f>SUM(D398:J398)</f>
        <v>0</v>
      </c>
      <c r="D398" s="96"/>
      <c r="E398" s="96"/>
      <c r="F398" s="97"/>
      <c r="G398" s="97"/>
      <c r="H398" s="97"/>
      <c r="I398" s="97"/>
      <c r="J398" s="97"/>
      <c r="K398" s="114"/>
    </row>
    <row r="399" spans="1:11" s="5" customFormat="1" ht="15" customHeight="1">
      <c r="A399" s="107"/>
      <c r="B399" s="108" t="s">
        <v>11</v>
      </c>
      <c r="C399" s="109"/>
      <c r="D399" s="109"/>
      <c r="E399" s="109"/>
      <c r="F399" s="109"/>
      <c r="G399" s="109"/>
      <c r="H399" s="109"/>
      <c r="I399" s="109"/>
      <c r="J399" s="109"/>
      <c r="K399" s="110"/>
    </row>
    <row r="400" spans="1:11" s="5" customFormat="1" ht="21.75" customHeight="1">
      <c r="A400" s="111" t="s">
        <v>322</v>
      </c>
      <c r="B400" s="65" t="s">
        <v>32</v>
      </c>
      <c r="C400" s="112">
        <v>0</v>
      </c>
      <c r="D400" s="96"/>
      <c r="E400" s="96"/>
      <c r="F400" s="97"/>
      <c r="G400" s="97"/>
      <c r="H400" s="97"/>
      <c r="I400" s="97"/>
      <c r="J400" s="97"/>
      <c r="K400" s="114"/>
    </row>
    <row r="401" spans="1:11" s="5" customFormat="1" ht="15" customHeight="1">
      <c r="A401" s="111" t="s">
        <v>323</v>
      </c>
      <c r="B401" s="65" t="s">
        <v>7</v>
      </c>
      <c r="C401" s="112">
        <f>SUM(D401:J401)</f>
        <v>0</v>
      </c>
      <c r="D401" s="96"/>
      <c r="E401" s="96"/>
      <c r="F401" s="97"/>
      <c r="G401" s="97"/>
      <c r="H401" s="97"/>
      <c r="I401" s="97"/>
      <c r="J401" s="97"/>
      <c r="K401" s="114"/>
    </row>
    <row r="402" spans="1:11" s="5" customFormat="1" ht="15" customHeight="1">
      <c r="A402" s="107"/>
      <c r="B402" s="108" t="s">
        <v>12</v>
      </c>
      <c r="C402" s="109"/>
      <c r="D402" s="109"/>
      <c r="E402" s="109"/>
      <c r="F402" s="109"/>
      <c r="G402" s="109"/>
      <c r="H402" s="109"/>
      <c r="I402" s="109"/>
      <c r="J402" s="109"/>
      <c r="K402" s="110"/>
    </row>
    <row r="403" spans="1:11" s="5" customFormat="1" ht="48.75" customHeight="1">
      <c r="A403" s="111" t="s">
        <v>123</v>
      </c>
      <c r="B403" s="65" t="s">
        <v>101</v>
      </c>
      <c r="C403" s="112">
        <v>0</v>
      </c>
      <c r="D403" s="96"/>
      <c r="E403" s="96"/>
      <c r="F403" s="97"/>
      <c r="G403" s="97"/>
      <c r="H403" s="97"/>
      <c r="I403" s="97"/>
      <c r="J403" s="97"/>
      <c r="K403" s="114"/>
    </row>
    <row r="404" spans="1:11" s="5" customFormat="1" ht="15" customHeight="1">
      <c r="A404" s="111" t="s">
        <v>124</v>
      </c>
      <c r="B404" s="65" t="s">
        <v>7</v>
      </c>
      <c r="C404" s="112">
        <f>SUM(D404:J404)</f>
        <v>0</v>
      </c>
      <c r="D404" s="96"/>
      <c r="E404" s="96"/>
      <c r="F404" s="97"/>
      <c r="G404" s="97"/>
      <c r="H404" s="97"/>
      <c r="I404" s="97"/>
      <c r="J404" s="97"/>
      <c r="K404" s="114"/>
    </row>
    <row r="405" spans="1:11" s="5" customFormat="1" ht="15" customHeight="1">
      <c r="A405" s="107"/>
      <c r="B405" s="108" t="s">
        <v>15</v>
      </c>
      <c r="C405" s="109"/>
      <c r="D405" s="109"/>
      <c r="E405" s="109"/>
      <c r="F405" s="109"/>
      <c r="G405" s="109"/>
      <c r="H405" s="109"/>
      <c r="I405" s="109"/>
      <c r="J405" s="109"/>
      <c r="K405" s="110"/>
    </row>
    <row r="406" spans="1:11" s="5" customFormat="1" ht="15.75">
      <c r="A406" s="111" t="s">
        <v>125</v>
      </c>
      <c r="B406" s="65" t="s">
        <v>16</v>
      </c>
      <c r="C406" s="112">
        <f>SUM(B407:C409)</f>
        <v>184195</v>
      </c>
      <c r="D406" s="96">
        <v>0</v>
      </c>
      <c r="E406" s="96">
        <f aca="true" t="shared" si="140" ref="E406:J406">SUM(E407:E409)</f>
        <v>24014</v>
      </c>
      <c r="F406" s="97">
        <f t="shared" si="140"/>
        <v>30767</v>
      </c>
      <c r="G406" s="97">
        <f t="shared" si="140"/>
        <v>34042</v>
      </c>
      <c r="H406" s="97">
        <f t="shared" si="140"/>
        <v>34360</v>
      </c>
      <c r="I406" s="97">
        <f t="shared" si="140"/>
        <v>34330</v>
      </c>
      <c r="J406" s="97">
        <f t="shared" si="140"/>
        <v>26682</v>
      </c>
      <c r="K406" s="119"/>
    </row>
    <row r="407" spans="1:11" s="5" customFormat="1" ht="15" customHeight="1">
      <c r="A407" s="111" t="s">
        <v>126</v>
      </c>
      <c r="B407" s="65" t="s">
        <v>7</v>
      </c>
      <c r="C407" s="112">
        <f>SUM(D407:J407)</f>
        <v>760</v>
      </c>
      <c r="D407" s="96">
        <f>SUM(D415+D418+D421+D424)</f>
        <v>0</v>
      </c>
      <c r="E407" s="96">
        <f aca="true" t="shared" si="141" ref="E407:J407">SUM(E415+E418+E421+E424)</f>
        <v>0</v>
      </c>
      <c r="F407" s="97">
        <f t="shared" si="141"/>
        <v>0</v>
      </c>
      <c r="G407" s="97">
        <f t="shared" si="141"/>
        <v>0</v>
      </c>
      <c r="H407" s="97">
        <f t="shared" si="141"/>
        <v>140</v>
      </c>
      <c r="I407" s="97">
        <f t="shared" si="141"/>
        <v>110</v>
      </c>
      <c r="J407" s="97">
        <f t="shared" si="141"/>
        <v>510</v>
      </c>
      <c r="K407" s="119"/>
    </row>
    <row r="408" spans="1:11" s="5" customFormat="1" ht="15" customHeight="1">
      <c r="A408" s="111" t="s">
        <v>127</v>
      </c>
      <c r="B408" s="65" t="s">
        <v>8</v>
      </c>
      <c r="C408" s="112">
        <f>SUM(D408:J408)</f>
        <v>0</v>
      </c>
      <c r="D408" s="96">
        <v>0</v>
      </c>
      <c r="E408" s="96">
        <v>0</v>
      </c>
      <c r="F408" s="97">
        <v>0</v>
      </c>
      <c r="G408" s="97">
        <v>0</v>
      </c>
      <c r="H408" s="97">
        <v>0</v>
      </c>
      <c r="I408" s="97">
        <v>0</v>
      </c>
      <c r="J408" s="97">
        <v>0</v>
      </c>
      <c r="K408" s="114"/>
    </row>
    <row r="409" spans="1:11" s="5" customFormat="1" ht="15" customHeight="1">
      <c r="A409" s="111" t="s">
        <v>128</v>
      </c>
      <c r="B409" s="65" t="s">
        <v>9</v>
      </c>
      <c r="C409" s="112">
        <f>SUM(D409:J409)</f>
        <v>183435</v>
      </c>
      <c r="D409" s="96">
        <f aca="true" t="shared" si="142" ref="D409:J409">SUM(D412)</f>
        <v>0</v>
      </c>
      <c r="E409" s="96">
        <f t="shared" si="142"/>
        <v>24014</v>
      </c>
      <c r="F409" s="97">
        <f t="shared" si="142"/>
        <v>30767</v>
      </c>
      <c r="G409" s="97">
        <f t="shared" si="142"/>
        <v>34042</v>
      </c>
      <c r="H409" s="97">
        <f t="shared" si="142"/>
        <v>34220</v>
      </c>
      <c r="I409" s="97">
        <f t="shared" si="142"/>
        <v>34220</v>
      </c>
      <c r="J409" s="97">
        <f t="shared" si="142"/>
        <v>26172</v>
      </c>
      <c r="K409" s="114"/>
    </row>
    <row r="410" spans="1:11" s="5" customFormat="1" ht="15" customHeight="1">
      <c r="A410" s="111"/>
      <c r="B410" s="65"/>
      <c r="C410" s="112"/>
      <c r="D410" s="96"/>
      <c r="E410" s="96"/>
      <c r="F410" s="97"/>
      <c r="G410" s="97"/>
      <c r="H410" s="97"/>
      <c r="I410" s="97"/>
      <c r="J410" s="97"/>
      <c r="K410" s="114"/>
    </row>
    <row r="411" spans="1:11" s="7" customFormat="1" ht="61.5" customHeight="1">
      <c r="A411" s="111" t="s">
        <v>141</v>
      </c>
      <c r="B411" s="65" t="s">
        <v>70</v>
      </c>
      <c r="C411" s="97">
        <f aca="true" t="shared" si="143" ref="C411:J411">SUM(C412)</f>
        <v>183435</v>
      </c>
      <c r="D411" s="96">
        <f t="shared" si="143"/>
        <v>0</v>
      </c>
      <c r="E411" s="96">
        <f t="shared" si="143"/>
        <v>24014</v>
      </c>
      <c r="F411" s="97">
        <f t="shared" si="143"/>
        <v>30767</v>
      </c>
      <c r="G411" s="97">
        <f t="shared" si="143"/>
        <v>34042</v>
      </c>
      <c r="H411" s="97">
        <f t="shared" si="143"/>
        <v>34220</v>
      </c>
      <c r="I411" s="97">
        <f t="shared" si="143"/>
        <v>34220</v>
      </c>
      <c r="J411" s="97">
        <f t="shared" si="143"/>
        <v>26172</v>
      </c>
      <c r="K411" s="114" t="s">
        <v>163</v>
      </c>
    </row>
    <row r="412" spans="1:11" s="7" customFormat="1" ht="15.75" customHeight="1">
      <c r="A412" s="111" t="s">
        <v>142</v>
      </c>
      <c r="B412" s="65" t="s">
        <v>9</v>
      </c>
      <c r="C412" s="112">
        <f>SUM(D412:J412)</f>
        <v>183435</v>
      </c>
      <c r="D412" s="96">
        <v>0</v>
      </c>
      <c r="E412" s="96">
        <v>24014</v>
      </c>
      <c r="F412" s="97">
        <f>30767</f>
        <v>30767</v>
      </c>
      <c r="G412" s="97">
        <v>34042</v>
      </c>
      <c r="H412" s="97">
        <v>34220</v>
      </c>
      <c r="I412" s="97">
        <v>34220</v>
      </c>
      <c r="J412" s="97">
        <v>26172</v>
      </c>
      <c r="K412" s="114"/>
    </row>
    <row r="413" spans="1:11" s="7" customFormat="1" ht="15.75" customHeight="1">
      <c r="A413" s="111"/>
      <c r="B413" s="65"/>
      <c r="C413" s="112"/>
      <c r="D413" s="96"/>
      <c r="E413" s="96"/>
      <c r="F413" s="97"/>
      <c r="G413" s="97"/>
      <c r="H413" s="97"/>
      <c r="I413" s="97"/>
      <c r="J413" s="97"/>
      <c r="K413" s="114"/>
    </row>
    <row r="414" spans="1:11" s="7" customFormat="1" ht="50.25" customHeight="1">
      <c r="A414" s="93" t="s">
        <v>149</v>
      </c>
      <c r="B414" s="65" t="s">
        <v>199</v>
      </c>
      <c r="C414" s="112">
        <f>SUM(D414:J414)</f>
        <v>700</v>
      </c>
      <c r="D414" s="96">
        <f>SUM(D415)</f>
        <v>0</v>
      </c>
      <c r="E414" s="96">
        <f aca="true" t="shared" si="144" ref="E414:J414">SUM(E415)</f>
        <v>0</v>
      </c>
      <c r="F414" s="97">
        <f t="shared" si="144"/>
        <v>0</v>
      </c>
      <c r="G414" s="97">
        <f t="shared" si="144"/>
        <v>0</v>
      </c>
      <c r="H414" s="97">
        <f t="shared" si="144"/>
        <v>100</v>
      </c>
      <c r="I414" s="97">
        <f t="shared" si="144"/>
        <v>100</v>
      </c>
      <c r="J414" s="97">
        <f t="shared" si="144"/>
        <v>500</v>
      </c>
      <c r="K414" s="114" t="s">
        <v>173</v>
      </c>
    </row>
    <row r="415" spans="1:11" s="7" customFormat="1" ht="15.75" customHeight="1">
      <c r="A415" s="93" t="s">
        <v>150</v>
      </c>
      <c r="B415" s="65" t="s">
        <v>7</v>
      </c>
      <c r="C415" s="112">
        <f>SUM(D415:J415)</f>
        <v>700</v>
      </c>
      <c r="D415" s="96">
        <v>0</v>
      </c>
      <c r="E415" s="96">
        <v>0</v>
      </c>
      <c r="F415" s="97">
        <f>100-100</f>
        <v>0</v>
      </c>
      <c r="G415" s="97">
        <v>0</v>
      </c>
      <c r="H415" s="97">
        <v>100</v>
      </c>
      <c r="I415" s="97">
        <v>100</v>
      </c>
      <c r="J415" s="97">
        <v>500</v>
      </c>
      <c r="K415" s="114"/>
    </row>
    <row r="416" spans="1:11" s="7" customFormat="1" ht="15.75" customHeight="1">
      <c r="A416" s="93"/>
      <c r="B416" s="65"/>
      <c r="C416" s="112"/>
      <c r="D416" s="96"/>
      <c r="E416" s="96"/>
      <c r="F416" s="97"/>
      <c r="G416" s="97"/>
      <c r="H416" s="97"/>
      <c r="I416" s="97"/>
      <c r="J416" s="97"/>
      <c r="K416" s="114"/>
    </row>
    <row r="417" spans="1:11" s="7" customFormat="1" ht="65.25" customHeight="1">
      <c r="A417" s="93" t="s">
        <v>151</v>
      </c>
      <c r="B417" s="65" t="s">
        <v>200</v>
      </c>
      <c r="C417" s="112">
        <f>SUM(D417:J417)</f>
        <v>30</v>
      </c>
      <c r="D417" s="96">
        <f aca="true" t="shared" si="145" ref="D417:J417">SUM(D418)</f>
        <v>0</v>
      </c>
      <c r="E417" s="96">
        <f t="shared" si="145"/>
        <v>0</v>
      </c>
      <c r="F417" s="97">
        <f t="shared" si="145"/>
        <v>0</v>
      </c>
      <c r="G417" s="97">
        <f t="shared" si="145"/>
        <v>0</v>
      </c>
      <c r="H417" s="97">
        <f t="shared" si="145"/>
        <v>10</v>
      </c>
      <c r="I417" s="97">
        <f t="shared" si="145"/>
        <v>10</v>
      </c>
      <c r="J417" s="97">
        <f t="shared" si="145"/>
        <v>10</v>
      </c>
      <c r="K417" s="114" t="s">
        <v>171</v>
      </c>
    </row>
    <row r="418" spans="1:11" s="7" customFormat="1" ht="15.75" customHeight="1">
      <c r="A418" s="93" t="s">
        <v>325</v>
      </c>
      <c r="B418" s="65" t="s">
        <v>7</v>
      </c>
      <c r="C418" s="112">
        <f>SUM(D418:J418)</f>
        <v>30</v>
      </c>
      <c r="D418" s="96"/>
      <c r="E418" s="96"/>
      <c r="F418" s="97"/>
      <c r="G418" s="97"/>
      <c r="H418" s="97">
        <v>10</v>
      </c>
      <c r="I418" s="97">
        <v>10</v>
      </c>
      <c r="J418" s="97">
        <v>10</v>
      </c>
      <c r="K418" s="114"/>
    </row>
    <row r="419" spans="1:11" s="7" customFormat="1" ht="15.75" customHeight="1">
      <c r="A419" s="93"/>
      <c r="B419" s="65"/>
      <c r="C419" s="112"/>
      <c r="D419" s="96"/>
      <c r="E419" s="96"/>
      <c r="F419" s="97"/>
      <c r="G419" s="97"/>
      <c r="H419" s="97"/>
      <c r="I419" s="97"/>
      <c r="J419" s="97"/>
      <c r="K419" s="114"/>
    </row>
    <row r="420" spans="1:11" s="7" customFormat="1" ht="51" customHeight="1">
      <c r="A420" s="93" t="s">
        <v>332</v>
      </c>
      <c r="B420" s="65" t="s">
        <v>201</v>
      </c>
      <c r="C420" s="112">
        <v>0</v>
      </c>
      <c r="D420" s="96">
        <f aca="true" t="shared" si="146" ref="D420:J420">SUM(D421)</f>
        <v>0</v>
      </c>
      <c r="E420" s="96">
        <f t="shared" si="146"/>
        <v>0</v>
      </c>
      <c r="F420" s="97">
        <f t="shared" si="146"/>
        <v>0</v>
      </c>
      <c r="G420" s="97">
        <f t="shared" si="146"/>
        <v>0</v>
      </c>
      <c r="H420" s="97">
        <f t="shared" si="146"/>
        <v>0</v>
      </c>
      <c r="I420" s="97">
        <f t="shared" si="146"/>
        <v>0</v>
      </c>
      <c r="J420" s="97">
        <f t="shared" si="146"/>
        <v>0</v>
      </c>
      <c r="K420" s="114" t="s">
        <v>172</v>
      </c>
    </row>
    <row r="421" spans="1:11" s="7" customFormat="1" ht="15.75" customHeight="1">
      <c r="A421" s="93" t="s">
        <v>335</v>
      </c>
      <c r="B421" s="65" t="s">
        <v>7</v>
      </c>
      <c r="C421" s="112">
        <v>0</v>
      </c>
      <c r="D421" s="96"/>
      <c r="E421" s="96"/>
      <c r="F421" s="97"/>
      <c r="G421" s="97"/>
      <c r="H421" s="97"/>
      <c r="I421" s="97"/>
      <c r="J421" s="97"/>
      <c r="K421" s="114"/>
    </row>
    <row r="422" spans="1:11" s="7" customFormat="1" ht="15.75" customHeight="1">
      <c r="A422" s="93"/>
      <c r="B422" s="65"/>
      <c r="C422" s="112"/>
      <c r="D422" s="96"/>
      <c r="E422" s="96"/>
      <c r="F422" s="97"/>
      <c r="G422" s="97"/>
      <c r="H422" s="97"/>
      <c r="I422" s="97"/>
      <c r="J422" s="97"/>
      <c r="K422" s="114"/>
    </row>
    <row r="423" spans="1:11" s="7" customFormat="1" ht="66.75" customHeight="1">
      <c r="A423" s="93" t="s">
        <v>336</v>
      </c>
      <c r="B423" s="65" t="s">
        <v>202</v>
      </c>
      <c r="C423" s="112">
        <f>SUM(D423:J423)</f>
        <v>30</v>
      </c>
      <c r="D423" s="96">
        <f aca="true" t="shared" si="147" ref="D423:J423">SUM(D424)</f>
        <v>0</v>
      </c>
      <c r="E423" s="96">
        <f t="shared" si="147"/>
        <v>0</v>
      </c>
      <c r="F423" s="97">
        <f t="shared" si="147"/>
        <v>0</v>
      </c>
      <c r="G423" s="97">
        <f t="shared" si="147"/>
        <v>0</v>
      </c>
      <c r="H423" s="97">
        <f t="shared" si="147"/>
        <v>30</v>
      </c>
      <c r="I423" s="97">
        <f t="shared" si="147"/>
        <v>0</v>
      </c>
      <c r="J423" s="97">
        <f t="shared" si="147"/>
        <v>0</v>
      </c>
      <c r="K423" s="114" t="s">
        <v>173</v>
      </c>
    </row>
    <row r="424" spans="1:11" s="7" customFormat="1" ht="15.75" customHeight="1">
      <c r="A424" s="93" t="s">
        <v>337</v>
      </c>
      <c r="B424" s="65" t="s">
        <v>7</v>
      </c>
      <c r="C424" s="112">
        <f>SUM(D424:J424)</f>
        <v>30</v>
      </c>
      <c r="D424" s="97"/>
      <c r="E424" s="97"/>
      <c r="F424" s="97"/>
      <c r="G424" s="97"/>
      <c r="H424" s="97">
        <v>30</v>
      </c>
      <c r="I424" s="97"/>
      <c r="J424" s="97"/>
      <c r="K424" s="114"/>
    </row>
    <row r="426" ht="12.75" customHeight="1" hidden="1">
      <c r="C426" s="3" t="s">
        <v>43</v>
      </c>
    </row>
    <row r="427" spans="2:11" ht="12.75" customHeight="1" hidden="1">
      <c r="B427" s="19" t="s">
        <v>44</v>
      </c>
      <c r="C427" s="8">
        <f aca="true" t="shared" si="148" ref="C427:C432">SUM(D427:J427)</f>
        <v>4935349.675190001</v>
      </c>
      <c r="D427" s="20">
        <f aca="true" t="shared" si="149" ref="D427:J427">SUM(D15)</f>
        <v>707299.138</v>
      </c>
      <c r="E427" s="20">
        <f t="shared" si="149"/>
        <v>713636.937</v>
      </c>
      <c r="F427" s="14">
        <f t="shared" si="149"/>
        <v>704438.8596000001</v>
      </c>
      <c r="G427" s="20">
        <f t="shared" si="149"/>
        <v>725189.24059</v>
      </c>
      <c r="H427" s="20">
        <f t="shared" si="149"/>
        <v>698008.4</v>
      </c>
      <c r="I427" s="20">
        <f t="shared" si="149"/>
        <v>699840.2</v>
      </c>
      <c r="J427" s="20">
        <f t="shared" si="149"/>
        <v>686936.9</v>
      </c>
      <c r="K427" s="36"/>
    </row>
    <row r="428" spans="2:11" ht="12.75" customHeight="1" hidden="1">
      <c r="B428" s="21" t="s">
        <v>45</v>
      </c>
      <c r="C428" s="22">
        <f t="shared" si="148"/>
        <v>36798.448000000004</v>
      </c>
      <c r="D428" s="23">
        <f>SUM(D198+D228+D234)</f>
        <v>36798.448000000004</v>
      </c>
      <c r="E428" s="23">
        <f aca="true" t="shared" si="150" ref="E428:J428">SUM(E198+E228)</f>
        <v>0</v>
      </c>
      <c r="F428" s="51">
        <f t="shared" si="150"/>
        <v>0</v>
      </c>
      <c r="G428" s="23">
        <f t="shared" si="150"/>
        <v>0</v>
      </c>
      <c r="H428" s="23">
        <f t="shared" si="150"/>
        <v>0</v>
      </c>
      <c r="I428" s="23">
        <f t="shared" si="150"/>
        <v>0</v>
      </c>
      <c r="J428" s="23">
        <f t="shared" si="150"/>
        <v>0</v>
      </c>
      <c r="K428" s="34"/>
    </row>
    <row r="429" spans="2:11" ht="12.75" customHeight="1" hidden="1">
      <c r="B429" s="21" t="s">
        <v>61</v>
      </c>
      <c r="C429" s="22">
        <f t="shared" si="148"/>
        <v>49099.123</v>
      </c>
      <c r="D429" s="23">
        <f aca="true" t="shared" si="151" ref="D429:J429">SUM(D40)</f>
        <v>49099.123</v>
      </c>
      <c r="E429" s="23">
        <f t="shared" si="151"/>
        <v>0</v>
      </c>
      <c r="F429" s="51">
        <f t="shared" si="151"/>
        <v>0</v>
      </c>
      <c r="G429" s="23">
        <f t="shared" si="151"/>
        <v>0</v>
      </c>
      <c r="H429" s="23">
        <f t="shared" si="151"/>
        <v>0</v>
      </c>
      <c r="I429" s="23">
        <f t="shared" si="151"/>
        <v>0</v>
      </c>
      <c r="J429" s="23">
        <f t="shared" si="151"/>
        <v>0</v>
      </c>
      <c r="K429" s="34"/>
    </row>
    <row r="430" spans="2:11" ht="12.75" customHeight="1" hidden="1">
      <c r="B430" s="21" t="s">
        <v>62</v>
      </c>
      <c r="C430" s="22">
        <f t="shared" si="148"/>
        <v>3103.2219999999998</v>
      </c>
      <c r="D430" s="23">
        <f aca="true" t="shared" si="152" ref="D430:J430">SUM(D108)</f>
        <v>2207</v>
      </c>
      <c r="E430" s="23">
        <f t="shared" si="152"/>
        <v>896.222</v>
      </c>
      <c r="F430" s="51">
        <f t="shared" si="152"/>
        <v>0</v>
      </c>
      <c r="G430" s="23">
        <f t="shared" si="152"/>
        <v>0</v>
      </c>
      <c r="H430" s="23">
        <f t="shared" si="152"/>
        <v>0</v>
      </c>
      <c r="I430" s="23">
        <f t="shared" si="152"/>
        <v>0</v>
      </c>
      <c r="J430" s="23">
        <f t="shared" si="152"/>
        <v>0</v>
      </c>
      <c r="K430" s="34"/>
    </row>
    <row r="431" spans="2:11" ht="12.75" customHeight="1" hidden="1">
      <c r="B431" s="21" t="s">
        <v>49</v>
      </c>
      <c r="C431" s="22">
        <f t="shared" si="148"/>
        <v>291697.4</v>
      </c>
      <c r="D431" s="23">
        <f aca="true" t="shared" si="153" ref="D431:J431">SUM(D19)</f>
        <v>35197.4</v>
      </c>
      <c r="E431" s="23">
        <f t="shared" si="153"/>
        <v>38000</v>
      </c>
      <c r="F431" s="51">
        <f t="shared" si="153"/>
        <v>41700</v>
      </c>
      <c r="G431" s="23">
        <f t="shared" si="153"/>
        <v>44200</v>
      </c>
      <c r="H431" s="23">
        <f t="shared" si="153"/>
        <v>44200</v>
      </c>
      <c r="I431" s="23">
        <f t="shared" si="153"/>
        <v>44200</v>
      </c>
      <c r="J431" s="23">
        <f t="shared" si="153"/>
        <v>44200</v>
      </c>
      <c r="K431" s="34"/>
    </row>
    <row r="432" spans="2:11" ht="12.75" customHeight="1" hidden="1">
      <c r="B432" s="24"/>
      <c r="C432" s="22">
        <f t="shared" si="148"/>
        <v>0</v>
      </c>
      <c r="D432" s="23"/>
      <c r="E432" s="23"/>
      <c r="F432" s="51"/>
      <c r="G432" s="23"/>
      <c r="H432" s="23"/>
      <c r="I432" s="23"/>
      <c r="J432" s="23"/>
      <c r="K432" s="34"/>
    </row>
    <row r="433" spans="2:11" ht="12.75" customHeight="1" hidden="1">
      <c r="B433" s="42"/>
      <c r="C433" s="8"/>
      <c r="D433" s="17"/>
      <c r="E433" s="17"/>
      <c r="F433" s="18"/>
      <c r="G433" s="17"/>
      <c r="H433" s="17"/>
      <c r="I433" s="17"/>
      <c r="J433" s="17"/>
      <c r="K433" s="34"/>
    </row>
    <row r="434" spans="2:11" ht="12.75" customHeight="1" hidden="1">
      <c r="B434" s="25" t="s">
        <v>46</v>
      </c>
      <c r="C434" s="26">
        <f>SUM(D434:J434)</f>
        <v>1400</v>
      </c>
      <c r="D434" s="27">
        <v>400</v>
      </c>
      <c r="E434" s="28">
        <v>500</v>
      </c>
      <c r="F434" s="28">
        <v>500</v>
      </c>
      <c r="G434" s="28"/>
      <c r="H434" s="28"/>
      <c r="I434" s="28"/>
      <c r="J434" s="28"/>
      <c r="K434" s="34"/>
    </row>
    <row r="435" spans="2:11" ht="25.5" customHeight="1" hidden="1">
      <c r="B435" s="31" t="s">
        <v>56</v>
      </c>
      <c r="C435" s="26">
        <f>SUM(D435:J435)</f>
        <v>199.6</v>
      </c>
      <c r="D435" s="27">
        <v>99.6</v>
      </c>
      <c r="E435" s="28">
        <v>24</v>
      </c>
      <c r="F435" s="28">
        <v>76</v>
      </c>
      <c r="G435" s="28"/>
      <c r="H435" s="28"/>
      <c r="I435" s="28"/>
      <c r="J435" s="28"/>
      <c r="K435" s="34"/>
    </row>
    <row r="436" spans="2:11" ht="12.75" customHeight="1" hidden="1">
      <c r="B436" s="25" t="s">
        <v>47</v>
      </c>
      <c r="C436" s="26">
        <f>SUM(D436:J436)</f>
        <v>735</v>
      </c>
      <c r="D436" s="27">
        <f>243.2+248.6</f>
        <v>491.79999999999995</v>
      </c>
      <c r="E436" s="28"/>
      <c r="F436" s="28">
        <v>243.2</v>
      </c>
      <c r="G436" s="28"/>
      <c r="H436" s="28"/>
      <c r="I436" s="28"/>
      <c r="J436" s="28"/>
      <c r="K436" s="34"/>
    </row>
    <row r="437" spans="2:11" ht="25.5" customHeight="1" hidden="1">
      <c r="B437" s="31" t="s">
        <v>55</v>
      </c>
      <c r="C437" s="26">
        <f>SUM(D437:J437)</f>
        <v>390</v>
      </c>
      <c r="D437" s="27">
        <v>390</v>
      </c>
      <c r="E437" s="28"/>
      <c r="F437" s="28"/>
      <c r="G437" s="28"/>
      <c r="H437" s="28"/>
      <c r="I437" s="28"/>
      <c r="J437" s="28"/>
      <c r="K437" s="34"/>
    </row>
    <row r="438" spans="2:11" ht="25.5" customHeight="1" hidden="1">
      <c r="B438" s="31" t="s">
        <v>54</v>
      </c>
      <c r="C438" s="26">
        <f>SUM(D438:J438)</f>
        <v>14953</v>
      </c>
      <c r="D438" s="27">
        <f>8343+6610</f>
        <v>14953</v>
      </c>
      <c r="E438" s="28"/>
      <c r="F438" s="28"/>
      <c r="G438" s="28"/>
      <c r="H438" s="28"/>
      <c r="I438" s="28"/>
      <c r="J438" s="28"/>
      <c r="K438" s="34"/>
    </row>
    <row r="439" spans="2:11" ht="12.75" customHeight="1" hidden="1">
      <c r="B439" s="42"/>
      <c r="C439" s="8"/>
      <c r="D439" s="17"/>
      <c r="E439" s="18"/>
      <c r="F439" s="18"/>
      <c r="G439" s="18"/>
      <c r="H439" s="18"/>
      <c r="I439" s="18"/>
      <c r="J439" s="18"/>
      <c r="K439" s="34"/>
    </row>
    <row r="440" spans="2:11" ht="12.75" customHeight="1" hidden="1">
      <c r="B440" s="42" t="s">
        <v>53</v>
      </c>
      <c r="C440" s="8">
        <f>SUM(D440:J440)</f>
        <v>4572329.08219</v>
      </c>
      <c r="D440" s="17">
        <f>SUM(D427-D428-D429-D430-D431-D432+D434+D435+D436+D437+D438)</f>
        <v>600331.567</v>
      </c>
      <c r="E440" s="17">
        <f aca="true" t="shared" si="154" ref="E440:J440">SUM(E427-E428-E429-E430-E431-E432+E434+E435+E436+E437+E438)</f>
        <v>675264.7150000001</v>
      </c>
      <c r="F440" s="18">
        <f t="shared" si="154"/>
        <v>663558.0596</v>
      </c>
      <c r="G440" s="17">
        <f t="shared" si="154"/>
        <v>680989.24059</v>
      </c>
      <c r="H440" s="17">
        <f t="shared" si="154"/>
        <v>653808.4</v>
      </c>
      <c r="I440" s="17">
        <f t="shared" si="154"/>
        <v>655640.2</v>
      </c>
      <c r="J440" s="17">
        <f t="shared" si="154"/>
        <v>642736.9</v>
      </c>
      <c r="K440" s="34"/>
    </row>
    <row r="441" spans="1:11" s="3" customFormat="1" ht="38.25" customHeight="1" hidden="1">
      <c r="A441" s="48"/>
      <c r="B441" s="40" t="s">
        <v>60</v>
      </c>
      <c r="C441" s="8">
        <f>SUM(D441:J441)</f>
        <v>1879872.9599999997</v>
      </c>
      <c r="D441" s="20">
        <f>577370.1-1100+1148+877+1245.1+750+390+248.6+8343+6610+3606.7+210.16-1207+657.7+6741-9304-896</f>
        <v>595690.3599999999</v>
      </c>
      <c r="E441" s="20">
        <f>609594.9+5000+930</f>
        <v>615524.9</v>
      </c>
      <c r="F441" s="14">
        <f>662674.7+5000+983</f>
        <v>668657.7</v>
      </c>
      <c r="G441" s="20"/>
      <c r="H441" s="20"/>
      <c r="I441" s="20"/>
      <c r="J441" s="20"/>
      <c r="K441" s="36"/>
    </row>
    <row r="442" spans="1:11" s="29" customFormat="1" ht="12.75" customHeight="1" hidden="1">
      <c r="A442" s="48"/>
      <c r="B442" s="42" t="s">
        <v>48</v>
      </c>
      <c r="C442" s="45">
        <f>SUM(D442:J442)</f>
        <v>2692456.1221900005</v>
      </c>
      <c r="D442" s="30">
        <f aca="true" t="shared" si="155" ref="D442:J442">D440-D441</f>
        <v>4641.2070000001695</v>
      </c>
      <c r="E442" s="30">
        <f t="shared" si="155"/>
        <v>59739.81500000006</v>
      </c>
      <c r="F442" s="12">
        <f t="shared" si="155"/>
        <v>-5099.640399999917</v>
      </c>
      <c r="G442" s="30">
        <f t="shared" si="155"/>
        <v>680989.24059</v>
      </c>
      <c r="H442" s="30">
        <f t="shared" si="155"/>
        <v>653808.4</v>
      </c>
      <c r="I442" s="30">
        <f t="shared" si="155"/>
        <v>655640.2</v>
      </c>
      <c r="J442" s="30">
        <f t="shared" si="155"/>
        <v>642736.9</v>
      </c>
      <c r="K442" s="35"/>
    </row>
    <row r="443" ht="12.75" customHeight="1" hidden="1"/>
    <row r="444" ht="12.75" customHeight="1" hidden="1"/>
    <row r="445" spans="2:3" ht="12.75" customHeight="1" hidden="1">
      <c r="B445" s="39" t="s">
        <v>50</v>
      </c>
      <c r="C445" s="3" t="s">
        <v>51</v>
      </c>
    </row>
    <row r="446" ht="12.75" customHeight="1" hidden="1"/>
    <row r="447" ht="12.75" customHeight="1" hidden="1">
      <c r="B447" s="41" t="s">
        <v>59</v>
      </c>
    </row>
    <row r="448" ht="12.75" customHeight="1" hidden="1"/>
    <row r="449" ht="12.75" customHeight="1" hidden="1"/>
  </sheetData>
  <sheetProtection/>
  <mergeCells count="42">
    <mergeCell ref="H5:K5"/>
    <mergeCell ref="A10:K10"/>
    <mergeCell ref="B33:K33"/>
    <mergeCell ref="A12:A14"/>
    <mergeCell ref="B45:K45"/>
    <mergeCell ref="B63:K63"/>
    <mergeCell ref="B39:K39"/>
    <mergeCell ref="H6:K6"/>
    <mergeCell ref="H7:K7"/>
    <mergeCell ref="C12:J12"/>
    <mergeCell ref="A8:K8"/>
    <mergeCell ref="A9:K9"/>
    <mergeCell ref="C13:C14"/>
    <mergeCell ref="B12:B14"/>
    <mergeCell ref="K12:K14"/>
    <mergeCell ref="B311:K311"/>
    <mergeCell ref="B314:K314"/>
    <mergeCell ref="B140:K140"/>
    <mergeCell ref="B317:K317"/>
    <mergeCell ref="B338:K338"/>
    <mergeCell ref="B70:K70"/>
    <mergeCell ref="B128:K128"/>
    <mergeCell ref="B354:K354"/>
    <mergeCell ref="B350:K350"/>
    <mergeCell ref="B405:K405"/>
    <mergeCell ref="B134:K134"/>
    <mergeCell ref="B166:K166"/>
    <mergeCell ref="B276:K276"/>
    <mergeCell ref="B281:K281"/>
    <mergeCell ref="B286:K286"/>
    <mergeCell ref="B295:K295"/>
    <mergeCell ref="B344:K344"/>
    <mergeCell ref="H1:K1"/>
    <mergeCell ref="H2:K2"/>
    <mergeCell ref="H3:K3"/>
    <mergeCell ref="H4:K4"/>
    <mergeCell ref="B399:K399"/>
    <mergeCell ref="B402:K402"/>
    <mergeCell ref="B305:K305"/>
    <mergeCell ref="B151:K151"/>
    <mergeCell ref="B362:K362"/>
    <mergeCell ref="B393:K393"/>
  </mergeCells>
  <printOptions/>
  <pageMargins left="0.3937007874015748" right="0.15748031496062992" top="0.5213541666666667" bottom="0.15748031496062992" header="0.31496062992125984" footer="0.15748031496062992"/>
  <pageSetup firstPageNumber="3" useFirstPageNumber="1" horizontalDpi="600" verticalDpi="600" orientation="landscape" paperSize="9" scale="65" r:id="rId1"/>
  <headerFooter>
    <oddHeader>&amp;C &amp;P</oddHeader>
  </headerFooter>
  <rowBreaks count="13" manualBreakCount="13">
    <brk id="44" max="10" man="1"/>
    <brk id="85" max="10" man="1"/>
    <brk id="108" max="10" man="1"/>
    <brk id="145" max="10" man="1"/>
    <brk id="181" max="10" man="1"/>
    <brk id="217" max="10" man="1"/>
    <brk id="249" max="10" man="1"/>
    <brk id="284" max="10" man="1"/>
    <brk id="316" max="10" man="1"/>
    <brk id="343" max="10" man="1"/>
    <brk id="373" max="10" man="1"/>
    <brk id="404" max="10" man="1"/>
    <brk id="4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2017-12-22T10:53:23Z</cp:lastPrinted>
  <dcterms:created xsi:type="dcterms:W3CDTF">2013-10-08T11:20:39Z</dcterms:created>
  <dcterms:modified xsi:type="dcterms:W3CDTF">2017-12-22T10:53:47Z</dcterms:modified>
  <cp:category/>
  <cp:version/>
  <cp:contentType/>
  <cp:contentStatus/>
</cp:coreProperties>
</file>