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2"/>
  </bookViews>
  <sheets>
    <sheet name="Приложение № 2 План мероприятий" sheetId="1" r:id="rId1"/>
    <sheet name="Приложение 3 Перечень объектов " sheetId="2" r:id="rId2"/>
    <sheet name="Форма 5-1" sheetId="3" r:id="rId3"/>
  </sheets>
  <definedNames>
    <definedName name="_xlnm.Print_Titles" localSheetId="0">'Приложение № 2 План мероприятий'!$12:$14</definedName>
    <definedName name="_xlnm.Print_Titles" localSheetId="2">'Форма 5-1'!$B:$B</definedName>
    <definedName name="_xlnm.Print_Area" localSheetId="1">'Приложение 3 Перечень объектов '!$A$1:$P$26</definedName>
    <definedName name="_xlnm.Print_Area" localSheetId="0">'Приложение № 2 План мероприятий'!$A$1:$K$449</definedName>
  </definedNames>
  <calcPr fullCalcOnLoad="1"/>
</workbook>
</file>

<file path=xl/sharedStrings.xml><?xml version="1.0" encoding="utf-8"?>
<sst xmlns="http://schemas.openxmlformats.org/spreadsheetml/2006/main" count="1953" uniqueCount="755">
  <si>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</si>
  <si>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</si>
  <si>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</si>
  <si>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</si>
  <si>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</si>
  <si>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</si>
  <si>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</si>
  <si>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</si>
  <si>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</si>
  <si>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</si>
  <si>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</si>
  <si>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</si>
  <si>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</si>
  <si>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</si>
  <si>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</si>
  <si>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</si>
  <si>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</si>
  <si>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</si>
  <si>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</si>
  <si>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</si>
  <si>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</si>
  <si>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</si>
  <si>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</si>
  <si>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</si>
  <si>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</si>
  <si>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</si>
  <si>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</si>
  <si>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</si>
  <si>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</si>
  <si>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</si>
  <si>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</si>
  <si>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</si>
  <si>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</si>
  <si>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</si>
  <si>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</si>
  <si>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</si>
  <si>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</si>
  <si>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</si>
  <si>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</si>
  <si>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</si>
  <si>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</si>
  <si>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</si>
  <si>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</si>
  <si>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</si>
  <si>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</si>
  <si>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</si>
  <si>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</si>
  <si>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</si>
  <si>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</si>
  <si>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</si>
  <si>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</si>
  <si>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</si>
  <si>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</si>
  <si>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</si>
  <si>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</si>
  <si>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</si>
  <si>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</si>
  <si>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</si>
  <si>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</si>
  <si>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</si>
  <si>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</si>
  <si>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</si>
  <si>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</si>
  <si>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</si>
  <si>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</si>
  <si>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</si>
  <si>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</si>
  <si>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</si>
  <si>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</si>
  <si>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</si>
  <si>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</si>
  <si>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</si>
  <si>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</si>
  <si>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</si>
  <si>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МБОУ СОШ №  2</t>
  </si>
  <si>
    <t>МБОУ СОШ №  15</t>
  </si>
  <si>
    <t>Окон, фасада, входной группы МАОУ СОШ № 1</t>
  </si>
  <si>
    <t>МАОУ СОШ № 1</t>
  </si>
  <si>
    <t>МБОУ СОШ № 2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</si>
  <si>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</si>
  <si>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</si>
  <si>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</si>
  <si>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</si>
  <si>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</si>
  <si>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</si>
  <si>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</si>
  <si>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</si>
  <si>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</si>
  <si>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</si>
  <si>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</si>
  <si>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</si>
  <si>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</si>
  <si>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</si>
  <si>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</si>
  <si>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</si>
  <si>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</si>
  <si>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</si>
  <si>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</si>
  <si>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</si>
  <si>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</si>
  <si>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</si>
  <si>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</si>
  <si>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</si>
  <si>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</si>
  <si>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</si>
  <si>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</si>
  <si>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</si>
  <si>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</si>
  <si>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</si>
  <si>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</si>
  <si>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</si>
  <si>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</si>
  <si>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</si>
  <si>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</si>
  <si>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</si>
  <si>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</si>
  <si>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</si>
  <si>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</si>
  <si>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</si>
  <si>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</si>
  <si>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</si>
  <si>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</si>
  <si>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</si>
  <si>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</si>
  <si>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</si>
  <si>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</si>
  <si>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</si>
  <si>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</si>
  <si>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</si>
  <si>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</si>
  <si>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</si>
  <si>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</si>
  <si>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</si>
  <si>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</si>
  <si>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</si>
  <si>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</si>
  <si>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</si>
  <si>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</si>
  <si>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</si>
  <si>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</si>
  <si>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</si>
  <si>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Приложение № 3</t>
  </si>
  <si>
    <t>ПЕРЕЧЕНЬ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</si>
  <si>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</si>
  <si>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</si>
  <si>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</si>
  <si>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</si>
  <si>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 xml:space="preserve"> 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</si>
  <si>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</si>
  <si>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</si>
  <si>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</si>
  <si>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</si>
  <si>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</si>
  <si>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</si>
  <si>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</si>
  <si>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</si>
  <si>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</si>
  <si>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</si>
  <si>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</si>
  <si>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</si>
  <si>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</si>
  <si>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</si>
  <si>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Всего по объекту 2, в том числе:</t>
  </si>
  <si>
    <t>288</t>
  </si>
  <si>
    <t>289</t>
  </si>
  <si>
    <t>к Постановлению Администрации</t>
  </si>
  <si>
    <t>Североуральского городского округа</t>
  </si>
  <si>
    <t xml:space="preserve">от                              №    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</si>
  <si>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</si>
  <si>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</si>
  <si>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</si>
  <si>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</si>
  <si>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</si>
  <si>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</si>
  <si>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</si>
  <si>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</si>
  <si>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</si>
  <si>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</si>
  <si>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</si>
  <si>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</si>
  <si>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</si>
  <si>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</si>
  <si>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</si>
  <si>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</si>
  <si>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</si>
  <si>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</si>
  <si>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</si>
  <si>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</si>
  <si>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</si>
  <si>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</si>
  <si>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</si>
  <si>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</si>
  <si>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</si>
  <si>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</si>
  <si>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</si>
  <si>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</si>
  <si>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</si>
  <si>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</si>
  <si>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</si>
  <si>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Кровли МАУ ДО "Центр "Остров"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</si>
  <si>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</si>
  <si>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</si>
  <si>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</si>
  <si>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</si>
  <si>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</si>
  <si>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</si>
  <si>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</si>
  <si>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</si>
  <si>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</si>
  <si>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</si>
  <si>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</si>
  <si>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</si>
  <si>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</si>
  <si>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</si>
  <si>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>было</t>
  </si>
  <si>
    <t xml:space="preserve">четвертый                              год </t>
  </si>
  <si>
    <t>36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</si>
  <si>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</si>
  <si>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37</t>
  </si>
  <si>
    <t>38</t>
  </si>
  <si>
    <t>Реконструкция кровли МАДОУ № 5</t>
  </si>
  <si>
    <t>Кровли МАДОУ № 3</t>
  </si>
  <si>
    <t>Объект 2                                                                                                   (Реконструкция кровли МАДОУ № 5)</t>
  </si>
  <si>
    <t>п.Черемухово, ул. Калинина, 5</t>
  </si>
  <si>
    <t>май                              2017</t>
  </si>
  <si>
    <t>октябрь 2017</t>
  </si>
  <si>
    <t>к Постановлению Администрации Североуральского городского округа</t>
  </si>
  <si>
    <t>от ____________________ № _____________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</si>
  <si>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</si>
  <si>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</si>
  <si>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</si>
  <si>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</si>
  <si>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</si>
  <si>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</si>
  <si>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</si>
  <si>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</si>
  <si>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</si>
  <si>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</si>
  <si>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</si>
  <si>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</si>
  <si>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</si>
  <si>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</si>
  <si>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</si>
  <si>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</si>
  <si>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</si>
  <si>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</si>
  <si>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</si>
  <si>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</si>
  <si>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</si>
  <si>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</si>
  <si>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</si>
  <si>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</si>
  <si>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</si>
  <si>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</si>
  <si>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</si>
  <si>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</si>
  <si>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</si>
  <si>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</si>
  <si>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</si>
  <si>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</si>
  <si>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</si>
  <si>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</si>
  <si>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</si>
  <si>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</si>
  <si>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</si>
  <si>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</si>
  <si>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</si>
  <si>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</si>
  <si>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</si>
  <si>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</si>
  <si>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</si>
  <si>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</si>
  <si>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</si>
  <si>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</si>
  <si>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</si>
  <si>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</si>
  <si>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</si>
  <si>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</si>
  <si>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</si>
  <si>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</si>
  <si>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</si>
  <si>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</si>
  <si>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</si>
  <si>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</si>
  <si>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</si>
  <si>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</si>
  <si>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</si>
  <si>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</si>
  <si>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</si>
  <si>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</si>
  <si>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</si>
  <si>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</si>
  <si>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</si>
  <si>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</si>
  <si>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</si>
  <si>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</si>
  <si>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</si>
  <si>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</si>
  <si>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</si>
  <si>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</si>
  <si>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</si>
  <si>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</si>
  <si>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</si>
  <si>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</si>
  <si>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</si>
  <si>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</si>
  <si>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</si>
  <si>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</si>
  <si>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</si>
  <si>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</si>
  <si>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</si>
  <si>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</si>
  <si>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</si>
  <si>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</si>
  <si>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</si>
  <si>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</si>
  <si>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</si>
  <si>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</si>
  <si>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</si>
  <si>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</si>
  <si>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</si>
  <si>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</si>
  <si>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</si>
  <si>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</si>
  <si>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</si>
  <si>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</si>
  <si>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</si>
  <si>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</si>
  <si>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</si>
  <si>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</si>
  <si>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</si>
  <si>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</si>
  <si>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</si>
  <si>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</si>
  <si>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</si>
  <si>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</si>
  <si>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</si>
  <si>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</si>
  <si>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</si>
  <si>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</si>
  <si>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</si>
  <si>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</si>
  <si>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</si>
  <si>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</si>
  <si>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</si>
  <si>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</si>
  <si>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</si>
  <si>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</si>
  <si>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</si>
  <si>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</si>
  <si>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</si>
  <si>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</si>
  <si>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</si>
  <si>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</si>
  <si>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</si>
  <si>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</si>
  <si>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</si>
  <si>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</si>
  <si>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</si>
  <si>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</si>
  <si>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</si>
  <si>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</si>
  <si>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</si>
  <si>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</si>
  <si>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</si>
  <si>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</si>
  <si>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</si>
  <si>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</si>
  <si>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</si>
  <si>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</si>
  <si>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</si>
  <si>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</si>
  <si>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</si>
  <si>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</si>
  <si>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</si>
  <si>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</si>
  <si>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</si>
  <si>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</si>
  <si>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</si>
  <si>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</si>
  <si>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</si>
  <si>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</si>
  <si>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</si>
  <si>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</si>
  <si>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</si>
  <si>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</si>
  <si>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</si>
  <si>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</si>
  <si>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</si>
  <si>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</si>
  <si>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</si>
  <si>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</si>
  <si>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</si>
  <si>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</si>
  <si>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</si>
  <si>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</si>
  <si>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</si>
  <si>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</si>
  <si>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</si>
  <si>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</si>
  <si>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</si>
  <si>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</si>
  <si>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</si>
  <si>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</si>
  <si>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</si>
  <si>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</si>
  <si>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</si>
  <si>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</si>
  <si>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</si>
  <si>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</si>
  <si>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</si>
  <si>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</si>
  <si>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</si>
  <si>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</si>
  <si>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</si>
  <si>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</si>
  <si>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</si>
  <si>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</si>
  <si>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</si>
  <si>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</si>
  <si>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</si>
  <si>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</si>
  <si>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</si>
  <si>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</si>
  <si>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</si>
  <si>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</si>
  <si>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</si>
  <si>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</si>
  <si>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</si>
  <si>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</si>
  <si>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</si>
  <si>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</si>
  <si>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</si>
  <si>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</si>
  <si>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</si>
  <si>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</si>
  <si>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</si>
  <si>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</si>
  <si>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</si>
  <si>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</si>
  <si>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</si>
  <si>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</si>
  <si>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</si>
  <si>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</si>
  <si>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</si>
  <si>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</si>
  <si>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</si>
  <si>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</si>
  <si>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</si>
  <si>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</si>
  <si>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</si>
  <si>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</si>
  <si>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</si>
  <si>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</si>
  <si>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</si>
  <si>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</si>
  <si>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</si>
  <si>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</si>
  <si>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</si>
  <si>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</si>
  <si>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</si>
  <si>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</si>
  <si>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</si>
  <si>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</si>
  <si>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</si>
  <si>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</si>
  <si>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</si>
  <si>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</si>
  <si>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</si>
  <si>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</si>
  <si>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</si>
  <si>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</si>
  <si>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</si>
  <si>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</si>
  <si>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</si>
  <si>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</si>
  <si>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задача 1.3, целевой показатель 4 (строка 9)</t>
  </si>
  <si>
    <t>110</t>
  </si>
  <si>
    <t>293</t>
  </si>
  <si>
    <t>Приложение № 2</t>
  </si>
  <si>
    <t>задача 2.6, целевой показатель 19 (строка 33),                                                                                                 задача 2.7, целевой показатель 20 (строка 35)</t>
  </si>
  <si>
    <t>задача 4.1, целевой показатель 28 (строка 51), целевой показатель 30 (строка 53),</t>
  </si>
  <si>
    <t>МБОУ СОШ № 4</t>
  </si>
  <si>
    <t>откл.</t>
  </si>
  <si>
    <t>294</t>
  </si>
  <si>
    <t>Открытие дошкольной группы в МБОУ ООШ № 4 п.Баяновка на 20 мест, всего:</t>
  </si>
  <si>
    <t>Мероприятие 3.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из них:</t>
  </si>
  <si>
    <t>295</t>
  </si>
  <si>
    <t>296</t>
  </si>
  <si>
    <t>297</t>
  </si>
  <si>
    <t>Окон, мастерских, туалетов МАОУ СОШ № 9</t>
  </si>
  <si>
    <t>Мероприятие 9.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</si>
  <si>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МАДОУ № 5</t>
  </si>
  <si>
    <t>МАДОУ № 33</t>
  </si>
  <si>
    <t>МАДОУ № 18</t>
  </si>
  <si>
    <t>МАДОУ № 23</t>
  </si>
  <si>
    <t>Кровли, окон МАДОУ № 4</t>
  </si>
  <si>
    <t>Окон МАДОУ № 23</t>
  </si>
  <si>
    <t>Кровли, бассейна МАДОУ № 5</t>
  </si>
  <si>
    <t>Бассейна МАДОУ № 30</t>
  </si>
  <si>
    <t>Окон МАДОУ № 33</t>
  </si>
  <si>
    <t>МАОУ СОШ №  14</t>
  </si>
  <si>
    <t>Системы отопления, санузлов, помещений, окон  МБОУ СОШ № 2</t>
  </si>
  <si>
    <t>Окон, актового зала, бассейна МАОУ СОШ № 11</t>
  </si>
  <si>
    <t>Лыжной базы п.Черемухово МАУ ДО "ДЮСШ"</t>
  </si>
  <si>
    <t>МАУ ДО "ДЮСШ"</t>
  </si>
  <si>
    <t>МАУ ДО "ЦВР"</t>
  </si>
  <si>
    <t>школа № 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</si>
  <si>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</si>
  <si>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</si>
  <si>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</si>
  <si>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</si>
  <si>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</si>
  <si>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</si>
  <si>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</si>
  <si>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</si>
  <si>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</si>
  <si>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</si>
  <si>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</si>
  <si>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</si>
  <si>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</si>
  <si>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</si>
  <si>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</si>
  <si>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</si>
  <si>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</si>
  <si>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</si>
  <si>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</si>
  <si>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</si>
  <si>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</si>
  <si>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Мероприятие 4.                                                                                                   Обеспечение муниципальных образовательных учреждений профессиональными педагогическими кадрами, всего, из них:</t>
  </si>
  <si>
    <t>319</t>
  </si>
  <si>
    <t>320</t>
  </si>
  <si>
    <t>ПЛАН МЕРОПРИЯТИЙ</t>
  </si>
  <si>
    <t>форма № 5-1</t>
  </si>
  <si>
    <t>ИЗМЕНЕНИЯ МЕРОПРИЯТИЙ, ОБЪЕМОВ ФИНАНСИРОВАНИЯ И ЦЕЛЕВЫХ ПОКАЗАТЕЛЕЙ</t>
  </si>
  <si>
    <t>МУНИЦИПАЛЬНОЙ ПРОГРАММЫ</t>
  </si>
  <si>
    <t>"РАЗВИТИЕ ОБРАЗОВАНИЯ В СЕВЕРОУРАЛЬСКОМ ГОРОДСКОМ ОКРУГЕ" на 2014 - 2020 ГОДЫ</t>
  </si>
  <si>
    <t>№ п/п</t>
  </si>
  <si>
    <t>Мероприятие муниципальной программы</t>
  </si>
  <si>
    <t>Всего изменение общего объема финансирования в рамках муниципальной программы, тыс.рублей</t>
  </si>
  <si>
    <t>в том числе 2018 год, тыс.рублей</t>
  </si>
  <si>
    <t>в том числе 2019 год, тыс.рублей</t>
  </si>
  <si>
    <t>изменение целевых показателей муниципальной программы</t>
  </si>
  <si>
    <t>значение целевого показателя муниципальной программы в действующей редакции</t>
  </si>
  <si>
    <t>объем финансирования муниципальной программы в новой редакции</t>
  </si>
  <si>
    <t>изменение объема финансирования муниципальной программы (+/-)</t>
  </si>
  <si>
    <t>значение целевого показателя  муниципальной программы в новой редакции</t>
  </si>
  <si>
    <t>изменение значения целевого показателя муниципальной программы (+/-)</t>
  </si>
  <si>
    <t>1</t>
  </si>
  <si>
    <t xml:space="preserve">Всего по направлению «Капитальные вложения» , в том числе:
</t>
  </si>
  <si>
    <r>
      <rPr>
        <b/>
        <sz val="8"/>
        <rFont val="Arial Cyr"/>
        <family val="0"/>
      </rPr>
      <t>Целевой показатель 2</t>
    </r>
    <r>
      <rPr>
        <sz val="8"/>
        <rFont val="Arial Cyr"/>
        <family val="0"/>
      </rPr>
      <t xml:space="preserve"> Увеличение количества мест в детских садах с 2594 мест на начало 2014 г до 2904 мест на начало 2021 года (мест);                                                                            </t>
    </r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 Обеспеченность местами в дошкольных образовательных учреждениях детей в возрасте от 1,5 до 7 лет относительно общего количества детей этого возраста (%) </t>
    </r>
  </si>
  <si>
    <t>Цп 2 = 2904 мест;                                                  Цп 3 = 90%</t>
  </si>
  <si>
    <t>Цп 2 = 0;                                                  Цп 3 = 0</t>
  </si>
  <si>
    <t>Цп 2 = 2904 мест;                                                  Цп 3 = 95%</t>
  </si>
  <si>
    <t>Цп 2 = 2904 мест;                                                  Цп 3 = 100%</t>
  </si>
  <si>
    <r>
      <rPr>
        <b/>
        <sz val="8"/>
        <rFont val="Arial Cyr"/>
        <family val="0"/>
      </rPr>
      <t>Целевой показатель 4</t>
    </r>
    <r>
      <rPr>
        <sz val="8"/>
        <rFont val="Arial Cyr"/>
        <family val="0"/>
      </rPr>
      <t xml:space="preserve"> Доля зданий дошкольных образовательных организаций, требующих капитального ремонта, от общего количества зданий дошкольных образовательных организаций (%). </t>
    </r>
  </si>
  <si>
    <t xml:space="preserve">Цп 4 = 0 </t>
  </si>
  <si>
    <t xml:space="preserve">Цп 4 = 45% </t>
  </si>
  <si>
    <t xml:space="preserve">Цп 4 = 35% </t>
  </si>
  <si>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</si>
  <si>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t xml:space="preserve">Цп 6 = 50% </t>
  </si>
  <si>
    <t xml:space="preserve">Цп 6 = 40% </t>
  </si>
  <si>
    <r>
      <rPr>
        <b/>
        <sz val="8"/>
        <rFont val="Arial Cyr"/>
        <family val="0"/>
      </rPr>
      <t>Целевой показатель 4</t>
    </r>
    <r>
      <rPr>
        <sz val="8"/>
        <rFont val="Arial Cyr"/>
        <family val="0"/>
      </rPr>
      <t xml:space="preserve"> Доля  зданий дошкольных образовательных организаций, требующих капитального ремонта, от общего количества  зданий дошкольных образовательных организаций (%);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</si>
  <si>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t xml:space="preserve">Цп 4  = 45%;                                                                    Цп 5 = 95%;                                                      Цп 6 = 40% </t>
  </si>
  <si>
    <t xml:space="preserve">Цп 4  = 35%;                                                                    Цп 5 = 100%;                                                      Цп 6 = 50% </t>
  </si>
  <si>
    <r>
      <rPr>
        <b/>
        <sz val="8"/>
        <rFont val="Arial Cyr"/>
        <family val="0"/>
      </rPr>
      <t xml:space="preserve">Целевой показатель </t>
    </r>
    <r>
      <rPr>
        <sz val="8"/>
        <rFont val="Arial Cyr"/>
        <family val="0"/>
      </rPr>
      <t xml:space="preserve">1 Доля образовательных организаций дошкольного образования, реализующих ФГОС дошкольного образования, от общего количества образовательных организаций (%);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</si>
  <si>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t>Цп 1  = 0;                                                                    Цп 5 = 0;                                                      Цп 6 = 0</t>
  </si>
  <si>
    <t xml:space="preserve">Цп 1  = 100%;                                                                    Цп 5 = 95%;                                                      Цп 6 = 40% </t>
  </si>
  <si>
    <t>Цп 1  = 0;                                                                    Цп 5 = 0;                                                      Цп 6 =0</t>
  </si>
  <si>
    <t xml:space="preserve">Цп 1  = 100%;                                                                    Цп 5 = 100%;                                                      Цп 6 = 50% </t>
  </si>
  <si>
    <r>
      <rPr>
        <b/>
        <sz val="8"/>
        <rFont val="Arial Cyr"/>
        <family val="0"/>
      </rPr>
      <t>Целевой показатель 1</t>
    </r>
    <r>
      <rPr>
        <sz val="8"/>
        <rFont val="Arial Cyr"/>
        <family val="0"/>
      </rPr>
      <t xml:space="preserve"> Доля образовательных организаций дошкольного образования, реализующих ФГОС дошкольного образования, от общего количества образовательных организаций (%);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5</t>
    </r>
    <r>
      <rPr>
        <sz val="8"/>
        <rFont val="Arial Cyr"/>
        <family val="0"/>
      </rPr>
      <t xml:space="preserve"> Доля населения, удовлетворённого качеством услуг дошкольного образования, от общего количества потребителей данной услуги (%);                                                                  </t>
    </r>
    <r>
      <rPr>
        <b/>
        <sz val="8"/>
        <rFont val="Arial Cyr"/>
        <family val="0"/>
      </rPr>
      <t>Целевой показатель 6</t>
    </r>
    <r>
      <rPr>
        <sz val="8"/>
        <rFont val="Arial Cyr"/>
        <family val="0"/>
      </rPr>
      <t xml:space="preserve"> Доля зданий образовательных организаций дошкольного образования, соответствующих требованиям санитарного законодательства и требованиям комплексной безопасности, от общего количества зданий  организаций дошкольного образования (%)</t>
    </r>
  </si>
  <si>
    <t xml:space="preserve">Цп 2  = 0;                                                                    Цп 3 = 0;                                                      </t>
  </si>
  <si>
    <t xml:space="preserve">Цп 2  = 2904;                                                                    Цп 3 = 95%;                                                      </t>
  </si>
  <si>
    <t xml:space="preserve">Цп 2  = 2904;                                                                    Цп 3 = 100%;                                                      </t>
  </si>
  <si>
    <t>Открытие дошкольной группы м МБОУ ООШ № 4 п.Баяновка на 20 мест, всего:</t>
  </si>
  <si>
    <r>
      <rPr>
        <b/>
        <sz val="8"/>
        <rFont val="Arial Cyr"/>
        <family val="0"/>
      </rPr>
      <t>Целевой показатель 16</t>
    </r>
    <r>
      <rPr>
        <sz val="8"/>
        <rFont val="Arial Cyr"/>
        <family val="0"/>
      </rPr>
      <t xml:space="preserve"> Удельный вес численности обучающихся, занимающихся в одну смену, в общей численности обучающихся в общеобразовательных организациях (%)</t>
    </r>
  </si>
  <si>
    <t>Цп 16 = 91,9%</t>
  </si>
  <si>
    <t>Цп 16 = 0</t>
  </si>
  <si>
    <t>Цп 16 = 100%</t>
  </si>
  <si>
    <r>
      <rPr>
        <b/>
        <sz val="8"/>
        <rFont val="Arial Cyr"/>
        <family val="0"/>
      </rPr>
      <t>Целевой показатель 16</t>
    </r>
    <r>
      <rPr>
        <sz val="8"/>
        <rFont val="Arial Cyr"/>
        <family val="0"/>
      </rPr>
      <t xml:space="preserve"> Удельный вес численности обучающихся, зпнимающихся в одну смену, в общей численности обучающихся в общеобразовательных организациях (%)</t>
    </r>
  </si>
  <si>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</si>
  <si>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t xml:space="preserve">Цп 18  = 73%                                                                                                                   </t>
  </si>
  <si>
    <t xml:space="preserve">Цп 18  = 0                                                                                                                   </t>
  </si>
  <si>
    <r>
      <rPr>
        <b/>
        <sz val="8"/>
        <rFont val="Arial Cyr"/>
        <family val="0"/>
      </rPr>
      <t xml:space="preserve">Целевой показатель 12 </t>
    </r>
    <r>
      <rPr>
        <sz val="8"/>
        <rFont val="Arial Cyr"/>
        <family val="0"/>
      </rPr>
      <t>Доля зданий образовательных организаций, требующих капитального ремонта, от общего количества зданий образовательных организаций (%);</t>
    </r>
    <r>
      <rPr>
        <b/>
        <sz val="8"/>
        <rFont val="Arial Cyr"/>
        <family val="0"/>
      </rPr>
      <t xml:space="preserve">                                                                                     Целевой показатель 17</t>
    </r>
    <r>
      <rPr>
        <sz val="8"/>
        <rFont val="Arial Cyr"/>
        <family val="0"/>
      </rPr>
      <t xml:space="preserve"> Доля обучающихся, получающих образовательные услуги в условиях, соответствующих современным требованиям, от общего количества обучающихся в образовательных организациях общего образования (%);                                                                                     </t>
    </r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</si>
  <si>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t xml:space="preserve">Цп 12  = 0;                                                                    Цп 17 = 0;                                                      Цп 18 = 0 </t>
  </si>
  <si>
    <t xml:space="preserve">Цп 12  = 25%;                                                                    Цп 17 = 80%;                                                      Цп 18 = 73% </t>
  </si>
  <si>
    <t xml:space="preserve">Цп 12  = 20%;                                                                    Цп 17 = 100%;                                                      Цп 18 = 73% </t>
  </si>
  <si>
    <t>Окон, санузлов, дверных блоков МАОУ СОШ № 13</t>
  </si>
  <si>
    <t xml:space="preserve">Цп 19  = 0;                                                                    Цп 20 = 0                                                     </t>
  </si>
  <si>
    <t xml:space="preserve">Цп 19  = 60%;                                                                    Цп 20 = 14 чел.                                                      </t>
  </si>
  <si>
    <t xml:space="preserve">Цп 19  = 70%;                                                                    Цп 20 = 15 чел.                                                      </t>
  </si>
  <si>
    <r>
      <rPr>
        <b/>
        <sz val="8"/>
        <rFont val="Arial Cyr"/>
        <family val="0"/>
      </rPr>
      <t>Целевой показатель 7</t>
    </r>
    <r>
      <rPr>
        <sz val="8"/>
        <rFont val="Arial Cyr"/>
        <family val="0"/>
      </rPr>
      <t xml:space="preserve">  Доля образовательных организаций общего образования, реализующих ФГОС общего образования при взаимодействии с образовательными организациями дополнительного образования, от общего количества организаций общего образования (%);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</t>
    </r>
    <r>
      <rPr>
        <b/>
        <sz val="8"/>
        <rFont val="Arial Cyr"/>
        <family val="0"/>
      </rPr>
      <t>Целевой показатель 9</t>
    </r>
    <r>
      <rPr>
        <sz val="8"/>
        <rFont val="Arial Cyr"/>
        <family val="0"/>
      </rPr>
      <t xml:space="preserve">  Доля выпускников, не освоивших программу основного общего образования, от общего количества выпускников 9х классов (%);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10</t>
    </r>
    <r>
      <rPr>
        <sz val="8"/>
        <rFont val="Arial Cyr"/>
        <family val="0"/>
      </rPr>
      <t xml:space="preserve">  Доля выпускников, не освоивших программу среднего (полного) общего образования, от общего количества выпускников 11х классов (%);                                                     </t>
    </r>
    <r>
      <rPr>
        <b/>
        <sz val="8"/>
        <rFont val="Arial Cyr"/>
        <family val="0"/>
      </rPr>
      <t>Целевой показатель 11</t>
    </r>
    <r>
      <rPr>
        <sz val="8"/>
        <rFont val="Arial Cyr"/>
        <family val="0"/>
      </rPr>
      <t xml:space="preserve">  Отношение среднего балла ЕГЭ (в расчёте на 1 предмет) в 10 процентах школ с лучшими результатами ЕГЭ к среднему баллу ЕГЭ (в расчёте на 1 предмет) в 10% школ с худшими результатами ЕГЭ (единиц);                                                                          </t>
    </r>
    <r>
      <rPr>
        <b/>
        <sz val="8"/>
        <rFont val="Arial Cyr"/>
        <family val="0"/>
      </rPr>
      <t>Целевой показатель 12</t>
    </r>
    <r>
      <rPr>
        <sz val="8"/>
        <rFont val="Arial Cyr"/>
        <family val="0"/>
      </rPr>
      <t xml:space="preserve">  Доля зданий образовательных организаций, требующих капитального ремонта, от общего количества зданий образовательных организаций (%);         </t>
    </r>
  </si>
  <si>
    <t>Цп 7  = 0;                                                                    Цп 8 = 0;                                                      Цп 9 = 0;                        ЦП 10 = 0;                          ЦП 11 = 0;                      ЦП 12 = 0</t>
  </si>
  <si>
    <t>Цп 7  = 100%;                                                                    Цп 8 = 90%;                                                      Цп 9 = 0%;                               ЦП 10 = 1%;                          ЦП 11 = 1,4 ед;                      ЦП 12 = 25%</t>
  </si>
  <si>
    <t>Цп 7  = 100%;                                                                    Цп 8 = 90%;                                                      Цп 9 = 0%;                               ЦП 10 = 1%;                          ЦП 11 = 1,3 ед;                      ЦП 12 = 20%</t>
  </si>
  <si>
    <r>
      <rPr>
        <b/>
        <sz val="8"/>
        <rFont val="Arial Cyr"/>
        <family val="0"/>
      </rPr>
      <t>Целевой показатель 7</t>
    </r>
    <r>
      <rPr>
        <sz val="8"/>
        <rFont val="Arial Cyr"/>
        <family val="0"/>
      </rPr>
      <t xml:space="preserve">  Доля образовательных организаций общего образования, реализующих ФГОС общего образования при взаимодействии с образовательными организациями дополнительного образования, от общего количества организаций общего образования (%);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</t>
    </r>
    <r>
      <rPr>
        <b/>
        <sz val="8"/>
        <rFont val="Arial Cyr"/>
        <family val="0"/>
      </rPr>
      <t>Целевой показатель 9</t>
    </r>
    <r>
      <rPr>
        <sz val="8"/>
        <rFont val="Arial Cyr"/>
        <family val="0"/>
      </rPr>
      <t xml:space="preserve">  Доля выпускников, не освоивших программу основного общего образования, от общего количества выпускников 9х классов (%);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10</t>
    </r>
    <r>
      <rPr>
        <sz val="8"/>
        <rFont val="Arial Cyr"/>
        <family val="0"/>
      </rPr>
      <t xml:space="preserve">  Доля выпускников, не освоивших программу среднего (полного) общего образования, от общего количества выпускников 11х классов (%);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11</t>
    </r>
    <r>
      <rPr>
        <sz val="8"/>
        <rFont val="Arial Cyr"/>
        <family val="0"/>
      </rPr>
      <t xml:space="preserve">  Отношение среднего балла ЕГЭ (в расчёте на 1 предмет) в 10 процентах школ с лучшими результатами ЕГЭ к среднему баллу ЕГЭ (в расчёте на 1 предмет) в 10% школ с худшими результатами ЕГЭ (единиц);                                                                          </t>
    </r>
    <r>
      <rPr>
        <b/>
        <sz val="8"/>
        <rFont val="Arial Cyr"/>
        <family val="0"/>
      </rPr>
      <t>Целевой показатель 12</t>
    </r>
    <r>
      <rPr>
        <sz val="8"/>
        <rFont val="Arial Cyr"/>
        <family val="0"/>
      </rPr>
      <t xml:space="preserve">  Доля зданий образовательных организаций, требующих капитального ремонта, от общего количества зданий образовательных организаций (%);         </t>
    </r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</si>
  <si>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(%);                                                                                            </t>
    </r>
    <r>
      <rPr>
        <b/>
        <sz val="8"/>
        <rFont val="Arial Cyr"/>
        <family val="0"/>
      </rPr>
      <t>Целевой показатель 18</t>
    </r>
    <r>
      <rPr>
        <sz val="8"/>
        <rFont val="Arial Cyr"/>
        <family val="0"/>
      </rPr>
      <t xml:space="preserve"> Доля образовательных организаций общего и дополнительного образования, в которых соблюдены требования комплексной безопасности, от общего количества организаций общего и дополнительного образования (%)</t>
    </r>
  </si>
  <si>
    <t>Цп 8 = 0;                                                           Цп 18 = 0</t>
  </si>
  <si>
    <t>Цп 8 = 90%;                                                        Цп 18 = 73%</t>
  </si>
  <si>
    <r>
      <rPr>
        <b/>
        <sz val="8"/>
        <rFont val="Arial Cyr"/>
        <family val="0"/>
      </rPr>
      <t>Целевой показатель 8</t>
    </r>
    <r>
      <rPr>
        <sz val="8"/>
        <rFont val="Arial Cyr"/>
        <family val="0"/>
      </rPr>
      <t xml:space="preserve">  Доля населения, удовлетворённого качеством услуг в сфере общего и дополнительного образования, от общего количества потребителей данных услуг (%)</t>
    </r>
  </si>
  <si>
    <t xml:space="preserve">Цп 8 = 0;                                                           </t>
  </si>
  <si>
    <t xml:space="preserve">Цп 8 = 90%;                                                        </t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</si>
  <si>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 Доля детей, охваченных организованным горячим питанием, от общего количества обучающихся (%)</t>
    </r>
  </si>
  <si>
    <r>
      <rPr>
        <b/>
        <sz val="8"/>
        <rFont val="Arial Cyr"/>
        <family val="0"/>
      </rPr>
      <t>Целевой показатель 13</t>
    </r>
    <r>
      <rPr>
        <sz val="8"/>
        <rFont val="Arial Cyr"/>
        <family val="0"/>
      </rPr>
      <t xml:space="preserve">  Доля обучающихся, сдавших нормативы ГТО, от общего количества обучающихся в образовательных организациях общего образования, принимавших участие в сдаче нормативов ГТО (%);                                                   </t>
    </r>
    <r>
      <rPr>
        <b/>
        <sz val="8"/>
        <rFont val="Arial Cyr"/>
        <family val="0"/>
      </rPr>
      <t>Целевой показатель 14</t>
    </r>
    <r>
      <rPr>
        <sz val="8"/>
        <rFont val="Arial Cyr"/>
        <family val="0"/>
      </rPr>
      <t xml:space="preserve">  Доля обучающихся, занимающихся физической культурой и спортом, от общего количества обучающихся в образовательных организациях общего образования (%)</t>
    </r>
  </si>
  <si>
    <t>Цп 13 = 0;                                                           Цп 14 = 0</t>
  </si>
  <si>
    <t>Цп 13 = 23%;                                                        Цп 14 = 70%</t>
  </si>
  <si>
    <t>Цп 13 = 24%;                                                        Цп 14 = 70%</t>
  </si>
  <si>
    <t>местный бюджет                                                                                    (дополнительные работы за рамками Соглашения)</t>
  </si>
  <si>
    <r>
      <rPr>
        <b/>
        <sz val="8"/>
        <rFont val="Arial Cyr"/>
        <family val="0"/>
      </rPr>
      <t>Целевой показатель 13</t>
    </r>
    <r>
      <rPr>
        <sz val="8"/>
        <rFont val="Arial Cyr"/>
        <family val="0"/>
      </rPr>
      <t xml:space="preserve">  Доля обучающихся, получающих дополнительные образовательные услуги естественно-научного направления и технического профиля, от общего количества обучающихся в образовательных организациях общего образования (%);                                                   </t>
    </r>
  </si>
  <si>
    <t xml:space="preserve">Цп 13  = 0                                                                                                             </t>
  </si>
  <si>
    <t xml:space="preserve">Цп 13 = 0;                                                           </t>
  </si>
  <si>
    <t xml:space="preserve">Цп 13 = 24%;                                                        </t>
  </si>
  <si>
    <r>
      <rPr>
        <b/>
        <sz val="8"/>
        <rFont val="Arial Cyr"/>
        <family val="0"/>
      </rPr>
      <t>Целевой показатель 16</t>
    </r>
    <r>
      <rPr>
        <sz val="8"/>
        <rFont val="Arial Cyr"/>
        <family val="0"/>
      </rPr>
      <t xml:space="preserve">  Удельный вес численности обучающихся , занимающихся в одну смену, в общей численности обучающихся в общеобразовательных организациях (%);                                                   </t>
    </r>
  </si>
  <si>
    <t xml:space="preserve">Цп 16  = 91,9%                                                                                                                  </t>
  </si>
  <si>
    <t xml:space="preserve">Цп 16  = 0                                                                                                             </t>
  </si>
  <si>
    <t xml:space="preserve">Цп 16  = 100%                                                                                                                  </t>
  </si>
  <si>
    <r>
      <rPr>
        <b/>
        <sz val="8"/>
        <rFont val="Arial Cyr"/>
        <family val="0"/>
      </rPr>
      <t>Целевой показатель 24</t>
    </r>
    <r>
      <rPr>
        <sz val="8"/>
        <rFont val="Arial Cyr"/>
        <family val="0"/>
      </rPr>
      <t xml:space="preserve">  Соотношение числа молодых педагогических работников к числу педагогических работников пенсионного возраста (единиц);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25</t>
    </r>
    <r>
      <rPr>
        <sz val="8"/>
        <rFont val="Arial Cyr"/>
        <family val="0"/>
      </rPr>
      <t xml:space="preserve">  Доля молодых специалистов, продолжающих работу после первого, второго, третьего года работы, от общего количества молодых специалистов (%);                                                                       </t>
    </r>
    <r>
      <rPr>
        <b/>
        <sz val="8"/>
        <rFont val="Arial Cyr"/>
        <family val="0"/>
      </rPr>
      <t xml:space="preserve">Целевой показатель 26 </t>
    </r>
    <r>
      <rPr>
        <sz val="8"/>
        <rFont val="Arial Cyr"/>
        <family val="0"/>
      </rPr>
      <t xml:space="preserve"> Доля педагогических работников в возрасте до 30 лет, от общего количества педагогических работников (%);                                                   </t>
    </r>
    <r>
      <rPr>
        <b/>
        <sz val="8"/>
        <rFont val="Arial Cyr"/>
        <family val="0"/>
      </rPr>
      <t>Целевой показатель 27</t>
    </r>
    <r>
      <rPr>
        <sz val="8"/>
        <rFont val="Arial Cyr"/>
        <family val="0"/>
      </rPr>
      <t xml:space="preserve">  Обеспеченность муниципальных образовательных учреждений профессиональными кадрами (%);                                      </t>
    </r>
  </si>
  <si>
    <t>Цп 24 = 0;                         Цп 25 = 0;                        Цп 26 = 0;                     Цп 27 =0;</t>
  </si>
  <si>
    <t>Цп 24 = 0,4 ед;                         Цп 25 = 100%;                        Цп 26 = 14,5%;                     Цп 27 =100%;</t>
  </si>
  <si>
    <t>Цп 24 = 0,3 ед;                         Цп 25 = 100%;                        Цп 26 = 15%;                     Цп 27 =100%;</t>
  </si>
  <si>
    <r>
      <rPr>
        <b/>
        <sz val="8"/>
        <rFont val="Arial Cyr"/>
        <family val="0"/>
      </rPr>
      <t>Целевой показатель 21</t>
    </r>
    <r>
      <rPr>
        <sz val="8"/>
        <rFont val="Arial Cyr"/>
        <family val="0"/>
      </rPr>
      <t xml:space="preserve">  Доля педагогов, прошедших повышение квалификации, от общего количества педагогов, работающих в организациях общего образования (%);                                                                          </t>
    </r>
    <r>
      <rPr>
        <b/>
        <sz val="8"/>
        <rFont val="Arial Cyr"/>
        <family val="0"/>
      </rPr>
      <t>Целевой показатель 22</t>
    </r>
    <r>
      <rPr>
        <sz val="8"/>
        <rFont val="Arial Cyr"/>
        <family val="0"/>
      </rPr>
      <t xml:space="preserve">  Доля педагогических работников, имеющих квалификационные категории по итогам аттестации, а также соответствие занимаемой должности от общего количества педагогических работникови (%);     </t>
    </r>
  </si>
  <si>
    <t>Цп 21 = 0;                                                        Цп 22 = 0</t>
  </si>
  <si>
    <t>Цп 21 = 100%;                                                        Цп 22 = 91%</t>
  </si>
  <si>
    <t>Цп 21 = 100%;                                                        Цп 22 = 95%</t>
  </si>
  <si>
    <r>
      <rPr>
        <b/>
        <sz val="8"/>
        <rFont val="Arial Cyr"/>
        <family val="0"/>
      </rPr>
      <t>Целевой показатель 23</t>
    </r>
    <r>
      <rPr>
        <sz val="8"/>
        <rFont val="Arial Cyr"/>
        <family val="0"/>
      </rPr>
      <t xml:space="preserve">  Число участников профессиональных конкурсов, в том числе победителей  (чел.);      </t>
    </r>
  </si>
  <si>
    <t>Цп 23 = 0                          (в т.ч. 0)</t>
  </si>
  <si>
    <t>Цп 23 = 50                          (в т.ч. 10)</t>
  </si>
  <si>
    <t>Цп 23 = 55                          (в т.ч. 11)</t>
  </si>
  <si>
    <r>
      <rPr>
        <b/>
        <sz val="8"/>
        <rFont val="Arial Cyr"/>
        <family val="0"/>
      </rPr>
      <t>Целевой показатель 31</t>
    </r>
    <r>
      <rPr>
        <sz val="8"/>
        <rFont val="Arial Cyr"/>
        <family val="0"/>
      </rPr>
      <t xml:space="preserve">  Доля исполненных пунктов предписаний надзорных органов в отношении загородного оздоровительного лагеря им. В. Дубинина, от общего количества пунктов предписаний Госпожнадзора, Роспотребнадзора, ОМВД  г. Североуральскав в отношении загородного оздоровительного лагеря им. В. Дубинина (%)</t>
    </r>
  </si>
  <si>
    <t>Цп 31 = 0</t>
  </si>
  <si>
    <t>Цп 31 = 90%</t>
  </si>
  <si>
    <t>Цп 31 = 100%</t>
  </si>
  <si>
    <r>
      <rPr>
        <b/>
        <sz val="8"/>
        <rFont val="Arial Cyr"/>
        <family val="0"/>
      </rPr>
      <t>Целевой показатель 29</t>
    </r>
    <r>
      <rPr>
        <sz val="8"/>
        <rFont val="Arial Cyr"/>
        <family val="0"/>
      </rPr>
      <t xml:space="preserve">  Доля детей, имеющих положительный оздоровительный эффект, от общего числа оздоровленных детей в загородном оздоровительном лагере   (%.);                              </t>
    </r>
    <r>
      <rPr>
        <b/>
        <sz val="8"/>
        <rFont val="Arial Cyr"/>
        <family val="0"/>
      </rPr>
      <t>Целевой показатель 31</t>
    </r>
    <r>
      <rPr>
        <sz val="8"/>
        <rFont val="Arial Cyr"/>
        <family val="0"/>
      </rPr>
      <t xml:space="preserve">  Доля исполненных пунктов предписаний надзорных органов в отношении загородного оздоровительного лагеря им. В. Дубинина, от общего количества пунктов предписаний Госпожнадзора, Роспотребнадзора, ОМВД  г. Североуральскав в отношении загородного оздоровительного лагеря им. В. Дубинина (%)</t>
    </r>
  </si>
  <si>
    <t>Цп 29 = 0;                            Цп 31 = 0</t>
  </si>
  <si>
    <r>
      <rPr>
        <b/>
        <sz val="8"/>
        <rFont val="Arial Cyr"/>
        <family val="0"/>
      </rPr>
      <t>Целевой показатель 28</t>
    </r>
    <r>
      <rPr>
        <sz val="8"/>
        <rFont val="Arial Cyr"/>
        <family val="0"/>
      </rPr>
      <t xml:space="preserve">  Доля детей, охваченных различными организованными формами оздоровления, отдыха и занятости в каникулярное и межканикулярное время, от общего количества детей в возрасте 6,5-17 лет  (%.);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30</t>
    </r>
    <r>
      <rPr>
        <sz val="8"/>
        <rFont val="Arial Cyr"/>
        <family val="0"/>
      </rPr>
      <t xml:space="preserve"> Доля детей в возрасте 7-17 лет, имеющих хронические заболевания, от общего количества детей этого возраста (%)  </t>
    </r>
  </si>
  <si>
    <t xml:space="preserve">Цп 28  = 82%  Цп 30  = 22%                                                                                                                 </t>
  </si>
  <si>
    <t xml:space="preserve">Цп 28  = 82%    Цп 30  = 22%                                                                                                                  </t>
  </si>
  <si>
    <t xml:space="preserve">Цп 28  = 0                              Цп 30  = 0                                                                                                                </t>
  </si>
  <si>
    <t xml:space="preserve">Цп 28  = 85%  Цп 30  = 20%                                                                                                                 </t>
  </si>
  <si>
    <t xml:space="preserve">Цп 28  = 0              Цп 308  = 0                                                                                                             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</si>
  <si>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период, всего, из них:</t>
  </si>
  <si>
    <t xml:space="preserve">Цп 31  = 0                                                                                                                   </t>
  </si>
  <si>
    <t xml:space="preserve">Цп 31  = 90%                                                                                                                   </t>
  </si>
  <si>
    <t xml:space="preserve">Цп 31  = 100%                                                                                                                   </t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</si>
  <si>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</si>
  <si>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t>Цп 32 = 5;                                                                  Цп 34 = 3%</t>
  </si>
  <si>
    <t>Цп 32 = 0;                                                                  Цп 34 = 0</t>
  </si>
  <si>
    <t>Цп 32 = 4;                                                                  Цп 34 = 2%</t>
  </si>
  <si>
    <t>Цп 32 = 4;                                                                  Цп 34 = 23%</t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</si>
  <si>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3  Доля образовательных организаций, работающих на основе показателей эффективности деятельности учреждения, от общего количества образовательных организаций (%);  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</si>
  <si>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t>Цп 32 = 0;                                                   Цп 33 = 0;                                                                 Цп 34 = 0</t>
  </si>
  <si>
    <t>Цп 32 = 5;                                                   Цп 33 = 90%                                                                 Цп 34 = 3%</t>
  </si>
  <si>
    <t>Цп 32 = 4;                                                   Цп 33 = 100%                                                                 Цп 34 = 2%</t>
  </si>
  <si>
    <r>
      <rPr>
        <b/>
        <sz val="8"/>
        <rFont val="Arial Cyr"/>
        <family val="0"/>
      </rPr>
      <t>Целевой показатель 32</t>
    </r>
    <r>
      <rPr>
        <sz val="8"/>
        <rFont val="Arial Cyr"/>
        <family val="0"/>
      </rPr>
      <t xml:space="preserve">  Количество жалоб и обращений по фактам нарушения законодательства в сфере образования (кол-во);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</si>
  <si>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r>
      <rPr>
        <b/>
        <sz val="8"/>
        <rFont val="Arial Cyr"/>
        <family val="0"/>
      </rPr>
      <t>Целевой показатель 21</t>
    </r>
    <r>
      <rPr>
        <sz val="8"/>
        <rFont val="Arial Cyr"/>
        <family val="0"/>
      </rPr>
      <t xml:space="preserve">  Доля педагогов, прошедших повышение квалификации, от общего количества педагогов, работающих в организациях общего образования (%);                                                                             </t>
    </r>
    <r>
      <rPr>
        <b/>
        <sz val="8"/>
        <rFont val="Arial Cyr"/>
        <family val="0"/>
      </rPr>
      <t>Целевой показатель 22</t>
    </r>
    <r>
      <rPr>
        <sz val="8"/>
        <rFont val="Arial Cyr"/>
        <family val="0"/>
      </rPr>
      <t xml:space="preserve">  Доля педагогических работников, имеющих квалификационные категории по итогам аттестации, а также соответствие занимаемой должности от общего количества педагогических работникови (%);     </t>
    </r>
  </si>
  <si>
    <t>Цп 21 = 0;                                                                  Цп 22 = 0</t>
  </si>
  <si>
    <t>Цп 21 = 100%;                                                                  Цп 22 = 91%</t>
  </si>
  <si>
    <t>Цп 21 = 100%;                                                                  Цп 22 = 95%</t>
  </si>
  <si>
    <r>
      <rPr>
        <b/>
        <sz val="8"/>
        <rFont val="Arial Cyr"/>
        <family val="0"/>
      </rPr>
      <t>Целевой показатель 3</t>
    </r>
    <r>
      <rPr>
        <sz val="8"/>
        <rFont val="Arial Cyr"/>
        <family val="0"/>
      </rPr>
      <t xml:space="preserve">3  Доля образовательных организаций, работающих на основе показателей эффективности деятельности учреждения, от общего количества образовательных организаций (%);                                            </t>
    </r>
  </si>
  <si>
    <t>Цп 33 = 0</t>
  </si>
  <si>
    <t>Цп 33 = 90%</t>
  </si>
  <si>
    <t>Цп 33 = 100%</t>
  </si>
  <si>
    <r>
      <rPr>
        <b/>
        <sz val="8"/>
        <rFont val="Arial Cyr"/>
        <family val="0"/>
      </rPr>
      <t>Целевой показатель 34</t>
    </r>
    <r>
      <rPr>
        <sz val="8"/>
        <rFont val="Arial Cyr"/>
        <family val="0"/>
      </rPr>
      <t xml:space="preserve">  Доля неэффективных расходов в сфере образования в общем объёме расходов, предусмотренных на образование (%)</t>
    </r>
  </si>
  <si>
    <t>Цп 34 = 0</t>
  </si>
  <si>
    <t>Цп 34 = 3%</t>
  </si>
  <si>
    <t>Цп 34 = 2%</t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</si>
  <si>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Доля детей, охваченных организованным горячим питанием, от общего количества обучающихся (%)</t>
    </r>
  </si>
  <si>
    <t xml:space="preserve">Цп 35 = 0;                         </t>
  </si>
  <si>
    <t xml:space="preserve">Цп 35 = 97%;                         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</si>
  <si>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</si>
  <si>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r>
      <rPr>
        <b/>
        <sz val="8"/>
        <rFont val="Arial Cyr"/>
        <family val="0"/>
      </rPr>
      <t>Целевой показатель 35</t>
    </r>
    <r>
      <rPr>
        <sz val="8"/>
        <rFont val="Arial Cyr"/>
        <family val="0"/>
      </rPr>
      <t xml:space="preserve"> Доля детей, охваченных организованным горячим питанием, от общего количества обучающихся (%);                                                                                       </t>
    </r>
    <r>
      <rPr>
        <b/>
        <sz val="8"/>
        <rFont val="Arial Cyr"/>
        <family val="0"/>
      </rPr>
      <t>Целевой показатель 36</t>
    </r>
    <r>
      <rPr>
        <sz val="8"/>
        <rFont val="Arial Cyr"/>
        <family val="0"/>
      </rPr>
      <t xml:space="preserve"> Доля обучающихся, удовлетворенных организацией питания, от общего количества потребителей данной услуги (%);                                                                                   </t>
    </r>
    <r>
      <rPr>
        <b/>
        <sz val="8"/>
        <rFont val="Arial Cyr"/>
        <family val="0"/>
      </rPr>
      <t>Целевой показатель 37</t>
    </r>
    <r>
      <rPr>
        <sz val="8"/>
        <rFont val="Arial Cyr"/>
        <family val="0"/>
      </rPr>
      <t xml:space="preserve"> Количество предписаний контролирующих органов (кол-во);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38</t>
    </r>
    <r>
      <rPr>
        <sz val="8"/>
        <rFont val="Arial Cyr"/>
        <family val="0"/>
      </rPr>
      <t xml:space="preserve"> Доля работников, прошедших обучение по теме «Здоровье учащихся» от общего количества педагогов (%)</t>
    </r>
  </si>
  <si>
    <t>Цп 35 = 0;                         Цп 26 = 0;                        Цп 37 = 0;                     Цп 38 =0;</t>
  </si>
  <si>
    <t>Цп 35 = 97%;                         Цп 36 = 95%;                        Цп 37 = 1;                     Цп 38 =20%;</t>
  </si>
  <si>
    <t>Цп 35 = 97%;                         Цп 36 = 95%;                        Цп 37 = 1;                     Цп 38 =25%;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</si>
  <si>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</si>
  <si>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r>
      <rPr>
        <b/>
        <sz val="8"/>
        <rFont val="Arial Cyr"/>
        <family val="0"/>
      </rPr>
      <t xml:space="preserve">Целевой показатель 37 </t>
    </r>
    <r>
      <rPr>
        <sz val="8"/>
        <rFont val="Arial Cyr"/>
        <family val="0"/>
      </rPr>
      <t xml:space="preserve">Количество предписаний контролирующих органов (кол-во);                                                                                                          </t>
    </r>
    <r>
      <rPr>
        <b/>
        <sz val="8"/>
        <rFont val="Arial Cyr"/>
        <family val="0"/>
      </rPr>
      <t xml:space="preserve">Целевой показатель 38 </t>
    </r>
    <r>
      <rPr>
        <sz val="8"/>
        <rFont val="Arial Cyr"/>
        <family val="0"/>
      </rPr>
      <t xml:space="preserve">Доля работников, прошедших обучение по теме «Здоровье учащихся» от общего количества педагогов (%);                                                                                   </t>
    </r>
    <r>
      <rPr>
        <b/>
        <sz val="8"/>
        <rFont val="Arial Cyr"/>
        <family val="0"/>
      </rPr>
      <t>Целевой показатель 39</t>
    </r>
    <r>
      <rPr>
        <sz val="8"/>
        <rFont val="Arial Cyr"/>
        <family val="0"/>
      </rPr>
      <t xml:space="preserve"> Количество просветительских мероприятий с детьми (кол-во);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40</t>
    </r>
    <r>
      <rPr>
        <sz val="8"/>
        <rFont val="Arial Cyr"/>
        <family val="0"/>
      </rPr>
      <t xml:space="preserve"> Количество просветительских мероприятий с родителями (законными представителями) (кол-во)</t>
    </r>
  </si>
  <si>
    <t>Цп 37 = 0;                         Цп 38 = 0;                        Цп 39 = 0;                     Цп 40 = 0</t>
  </si>
  <si>
    <t>Цп 37 = 1;                         Цп 38 = 20%;                        Цп 39 = 30;                     Цп 40 =22</t>
  </si>
  <si>
    <t>Цп 37 = 1;                         Цп 38 = 25%;                        Цп 39 = 30;                     Цп 40 =22</t>
  </si>
  <si>
    <t>Мероприятие 4. Проведение просветительских мероприятий для детей и родителей, всего, в том числе:</t>
  </si>
  <si>
    <r>
      <rPr>
        <b/>
        <sz val="8"/>
        <rFont val="Arial Cyr"/>
        <family val="0"/>
      </rPr>
      <t>Целевой показатель 39</t>
    </r>
    <r>
      <rPr>
        <sz val="8"/>
        <rFont val="Arial Cyr"/>
        <family val="0"/>
      </rPr>
      <t xml:space="preserve"> Количество просветительских мероприятий с детьми (кол-во);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40</t>
    </r>
    <r>
      <rPr>
        <sz val="8"/>
        <rFont val="Arial Cyr"/>
        <family val="0"/>
      </rPr>
      <t xml:space="preserve"> Количество просветительских мероприятий с родителями (законными представителями) (кол-во)</t>
    </r>
  </si>
  <si>
    <t>Цп 39 = 30;                     Цп 40 =22</t>
  </si>
  <si>
    <t>Цп 39 = 0;                     Цп 40 = 0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</si>
  <si>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</si>
  <si>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r>
      <rPr>
        <b/>
        <sz val="8"/>
        <rFont val="Arial Cyr"/>
        <family val="0"/>
      </rPr>
      <t>Целевой показатель 36</t>
    </r>
    <r>
      <rPr>
        <sz val="8"/>
        <rFont val="Arial Cyr"/>
        <family val="0"/>
      </rPr>
      <t xml:space="preserve"> Доля обучающихся, удовлетворенных организацией питания, от общего количества потребителей данной услуги (%)</t>
    </r>
  </si>
  <si>
    <t>Цп 36 = 0</t>
  </si>
  <si>
    <t>Цп 36 = 95%</t>
  </si>
  <si>
    <t xml:space="preserve">Цп 45 = 0 </t>
  </si>
  <si>
    <t>в том числе 2020 год, тыс.рублей</t>
  </si>
  <si>
    <t xml:space="preserve">Цп 4 = 20% </t>
  </si>
  <si>
    <t xml:space="preserve">Цп 6 = 0% </t>
  </si>
  <si>
    <t xml:space="preserve">Цп 6 = 100% </t>
  </si>
  <si>
    <t xml:space="preserve">Цп 4  = 0;                                                                    Цп 5 = 0;                                                      Цп 6 = 0% </t>
  </si>
  <si>
    <t xml:space="preserve">Цп 4  = 20%;                                                                    Цп 5 = 100%;                                                      Цп 6 = 100% </t>
  </si>
  <si>
    <t xml:space="preserve">Цп 1  = 100%;                                                                    Цп 5 = 100%;                                                      Цп 6 = 100% </t>
  </si>
  <si>
    <t>Цп 16 =0%</t>
  </si>
  <si>
    <t>Цп 16 = 0%</t>
  </si>
  <si>
    <t xml:space="preserve">Цп 18  = 0%                                                                                                                  </t>
  </si>
  <si>
    <t xml:space="preserve">Цп 18  = 98%                                                                                                                   </t>
  </si>
  <si>
    <t xml:space="preserve">Цп 18  = 0%                                                                                                                   </t>
  </si>
  <si>
    <t xml:space="preserve">Цп 12  = 15%;                                                                    Цп 17 = 100%;                                                      Цп 18 = 98% </t>
  </si>
  <si>
    <t xml:space="preserve">Цп 12  = 0;                                                                    Цп 17 = 0;                                                      Цп 18 = 0% </t>
  </si>
  <si>
    <t xml:space="preserve">Цп 19  = 80%;                                                                    Цп 20 = 16 чел.                                                      </t>
  </si>
  <si>
    <t>Цп 7  = 100%;                                                                    Цп 8 = 90%;                                                      Цп 9 = 0%;                               ЦП 10 = 0%;                          ЦП 11 = 1,2 ед;                      ЦП 12 = 15%</t>
  </si>
  <si>
    <t>Цп 8 = 90%;                                                        Цп 18 = 98%</t>
  </si>
  <si>
    <t xml:space="preserve">Цп 8 = 90%;                                                             </t>
  </si>
  <si>
    <t>Цп 13 = 24%;                                                       Цп 14 = 70%</t>
  </si>
  <si>
    <t>Цп 13 = 25%;                                                        Цп 14 = 70%</t>
  </si>
  <si>
    <t xml:space="preserve">Цп 13  = 23%                                                                                                                  </t>
  </si>
  <si>
    <t xml:space="preserve">Цп 13 = 25%;                                                        </t>
  </si>
  <si>
    <t xml:space="preserve">Цп 16  = 0%                                                                                                             </t>
  </si>
  <si>
    <t>Цп 23 = 60                          (в т.ч. 11)</t>
  </si>
  <si>
    <t>Цп 29 = 82%                             Цп 31 = 90%</t>
  </si>
  <si>
    <t>Цп 29 = 82%                          Цп 31 = 100%</t>
  </si>
  <si>
    <t>ЦП 29 = 85%                        Цп 31 = 100%</t>
  </si>
  <si>
    <t xml:space="preserve">Цп 28  = 85%                         Цп 30  = 20%                                                                                                                 </t>
  </si>
  <si>
    <t>Цп 32 = 3;                                                                  Цп 34 = 1%</t>
  </si>
  <si>
    <t>Цп 32 = 3;                                                   Цп 33 = 100%                                                                 Цп 34 = 1%</t>
  </si>
  <si>
    <t>Цп 34 = 1%</t>
  </si>
  <si>
    <t>Цп 35 = 97%;                         Цп 36 = 95%;                        Цп 37 = 1;                     Цп 38 =30%;</t>
  </si>
  <si>
    <t>Цп 37 = 1;                         Цп 38 = 30%;                        Цп 39 = 30;                     Цп 40 =22</t>
  </si>
  <si>
    <t xml:space="preserve">Кровли МАДОУ № 3 </t>
  </si>
  <si>
    <t>задача 3.3, целевой показатель 27 (строка 47)</t>
  </si>
  <si>
    <t>321</t>
  </si>
  <si>
    <t>322</t>
  </si>
  <si>
    <r>
      <rPr>
        <b/>
        <sz val="8"/>
        <rFont val="Arial Cyr"/>
        <family val="0"/>
      </rPr>
      <t>Целевой показатель 19</t>
    </r>
    <r>
      <rPr>
        <sz val="8"/>
        <rFont val="Arial Cyr"/>
        <family val="0"/>
      </rPr>
      <t xml:space="preserve"> Доля образовательных организаций общего образования, в которых созданы условия для обучения детей-инвалидов и детей с ОВЗ, от общего количества организаций общего образования (%);                                                                                                            </t>
    </r>
    <r>
      <rPr>
        <b/>
        <sz val="8"/>
        <rFont val="Arial Cyr"/>
        <family val="0"/>
      </rPr>
      <t>Целевой показатель 20</t>
    </r>
    <r>
      <rPr>
        <sz val="8"/>
        <rFont val="Arial Cyr"/>
        <family val="0"/>
      </rPr>
      <t xml:space="preserve"> Количество детей-инвалидов, обучающихся на дому с применением дистанционных технологий (чел.);       </t>
    </r>
  </si>
  <si>
    <t>МАОУ СОШ №  2</t>
  </si>
  <si>
    <t>Системы отопления, санузлов, помещений, окон  МАОУ СОШ № 2</t>
  </si>
  <si>
    <t>МАОУ СОШ № 2</t>
  </si>
  <si>
    <t>МАОУ ООШ № 4</t>
  </si>
  <si>
    <t>Наименование целевого показателя муниципальной программы                                                              (с указанием единицы измерения)</t>
  </si>
  <si>
    <r>
      <rPr>
        <b/>
        <sz val="8"/>
        <rFont val="Arial Cyr"/>
        <family val="0"/>
      </rPr>
      <t>Целевой показатель 27</t>
    </r>
    <r>
      <rPr>
        <sz val="8"/>
        <rFont val="Arial Cyr"/>
        <family val="0"/>
      </rPr>
      <t xml:space="preserve">  Обеспеченность муниципальных образовательных учреждений профессиональными кадрами (%);                 </t>
    </r>
  </si>
  <si>
    <t>Цп 27 =100%;</t>
  </si>
  <si>
    <t>Цп 27 =0;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</si>
  <si>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организаций, всего, из них: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</si>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</sst>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107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Arial Cyr"/>
      <family val="0"/>
    </font>
    <font>
      <sz val="12"/>
      <color indexed="20"/>
      <name val="Arial Cyr"/>
      <family val="0"/>
    </font>
    <font>
      <sz val="10"/>
      <color indexed="62"/>
      <name val="Arial Cyr"/>
      <family val="0"/>
    </font>
    <font>
      <sz val="10"/>
      <color indexed="20"/>
      <name val="Arial Cyr"/>
      <family val="0"/>
    </font>
    <font>
      <b/>
      <sz val="12"/>
      <color indexed="62"/>
      <name val="Arial Cyr"/>
      <family val="0"/>
    </font>
    <font>
      <b/>
      <sz val="12"/>
      <color indexed="20"/>
      <name val="Arial Cyr"/>
      <family val="0"/>
    </font>
    <font>
      <sz val="10"/>
      <color indexed="62"/>
      <name val="Times New Roman"/>
      <family val="1"/>
    </font>
    <font>
      <sz val="10"/>
      <color indexed="20"/>
      <name val="Times New Roman"/>
      <family val="1"/>
    </font>
    <font>
      <sz val="9"/>
      <color indexed="62"/>
      <name val="Times New Roman"/>
      <family val="1"/>
    </font>
    <font>
      <sz val="9"/>
      <color indexed="20"/>
      <name val="Times New Roman"/>
      <family val="1"/>
    </font>
    <font>
      <b/>
      <sz val="10"/>
      <color indexed="62"/>
      <name val="Arial Cyr"/>
      <family val="0"/>
    </font>
    <font>
      <b/>
      <sz val="10"/>
      <color indexed="20"/>
      <name val="Arial Cyr"/>
      <family val="0"/>
    </font>
    <font>
      <i/>
      <sz val="10"/>
      <color indexed="62"/>
      <name val="Arial Cyr"/>
      <family val="0"/>
    </font>
    <font>
      <i/>
      <sz val="10"/>
      <color indexed="20"/>
      <name val="Arial Cyr"/>
      <family val="0"/>
    </font>
    <font>
      <b/>
      <sz val="9"/>
      <color indexed="62"/>
      <name val="Arial Cyr"/>
      <family val="0"/>
    </font>
    <font>
      <b/>
      <sz val="9"/>
      <color indexed="20"/>
      <name val="Arial Cyr"/>
      <family val="0"/>
    </font>
    <font>
      <sz val="11"/>
      <color indexed="62"/>
      <name val="Arial Cyr"/>
      <family val="0"/>
    </font>
    <font>
      <sz val="11"/>
      <color indexed="2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CC"/>
      <name val="Arial Cyr"/>
      <family val="0"/>
    </font>
    <font>
      <sz val="12"/>
      <color rgb="FFA50021"/>
      <name val="Arial Cyr"/>
      <family val="0"/>
    </font>
    <font>
      <sz val="10"/>
      <color rgb="FF3333CC"/>
      <name val="Arial Cyr"/>
      <family val="0"/>
    </font>
    <font>
      <sz val="10"/>
      <color rgb="FFA50021"/>
      <name val="Arial Cyr"/>
      <family val="0"/>
    </font>
    <font>
      <b/>
      <sz val="12"/>
      <color rgb="FF3333CC"/>
      <name val="Arial Cyr"/>
      <family val="0"/>
    </font>
    <font>
      <b/>
      <sz val="12"/>
      <color rgb="FFA50021"/>
      <name val="Arial Cyr"/>
      <family val="0"/>
    </font>
    <font>
      <sz val="10"/>
      <color rgb="FF3333CC"/>
      <name val="Times New Roman"/>
      <family val="1"/>
    </font>
    <font>
      <sz val="10"/>
      <color rgb="FFA50021"/>
      <name val="Times New Roman"/>
      <family val="1"/>
    </font>
    <font>
      <sz val="9"/>
      <color rgb="FF3333CC"/>
      <name val="Times New Roman"/>
      <family val="1"/>
    </font>
    <font>
      <sz val="9"/>
      <color rgb="FFA50021"/>
      <name val="Times New Roman"/>
      <family val="1"/>
    </font>
    <font>
      <b/>
      <sz val="10"/>
      <color rgb="FF3333CC"/>
      <name val="Arial Cyr"/>
      <family val="0"/>
    </font>
    <font>
      <b/>
      <sz val="10"/>
      <color rgb="FFA50021"/>
      <name val="Arial Cyr"/>
      <family val="0"/>
    </font>
    <font>
      <i/>
      <sz val="10"/>
      <color rgb="FF3333CC"/>
      <name val="Arial Cyr"/>
      <family val="0"/>
    </font>
    <font>
      <i/>
      <sz val="10"/>
      <color rgb="FFA50021"/>
      <name val="Arial Cyr"/>
      <family val="0"/>
    </font>
    <font>
      <b/>
      <sz val="9"/>
      <color rgb="FF3333CC"/>
      <name val="Arial Cyr"/>
      <family val="0"/>
    </font>
    <font>
      <b/>
      <sz val="9"/>
      <color rgb="FFA50021"/>
      <name val="Arial Cyr"/>
      <family val="0"/>
    </font>
    <font>
      <sz val="11"/>
      <color rgb="FF3333CC"/>
      <name val="Arial Cyr"/>
      <family val="0"/>
    </font>
    <font>
      <sz val="11"/>
      <color rgb="FFA50021"/>
      <name val="Arial Cyr"/>
      <family val="0"/>
    </font>
    <font>
      <b/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2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2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169" fontId="0" fillId="3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3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3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3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3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4" fillId="0" borderId="11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2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5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33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170" fontId="2" fillId="0" borderId="14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69" fontId="0" fillId="0" borderId="11" xfId="0" applyNumberFormat="1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70" fontId="0" fillId="0" borderId="11" xfId="0" applyNumberFormat="1" applyFont="1" applyBorder="1" applyAlignment="1">
      <alignment horizontal="center" vertical="center" wrapText="1"/>
    </xf>
    <xf numFmtId="170" fontId="2" fillId="34" borderId="11" xfId="0" applyNumberFormat="1" applyFont="1" applyFill="1" applyBorder="1" applyAlignment="1">
      <alignment horizontal="center" vertical="center" wrapText="1"/>
    </xf>
    <xf numFmtId="170" fontId="15" fillId="0" borderId="11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170" fontId="11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16" fillId="0" borderId="11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7" fillId="3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3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0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9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0" fontId="2" fillId="37" borderId="11" xfId="0" applyNumberFormat="1" applyFont="1" applyFill="1" applyBorder="1" applyAlignment="1">
      <alignment horizontal="right" vertical="center" wrapText="1"/>
    </xf>
    <xf numFmtId="170" fontId="2" fillId="36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/>
    </xf>
    <xf numFmtId="174" fontId="2" fillId="37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174" fontId="2" fillId="36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right" vertical="center" wrapText="1"/>
    </xf>
    <xf numFmtId="174" fontId="2" fillId="0" borderId="14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11" fillId="0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174" fontId="2" fillId="34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4" fontId="11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26" fillId="0" borderId="11" xfId="0" applyNumberFormat="1" applyFont="1" applyBorder="1" applyAlignment="1">
      <alignment horizontal="center" vertical="center" wrapText="1"/>
    </xf>
    <xf numFmtId="174" fontId="12" fillId="0" borderId="0" xfId="0" applyNumberFormat="1" applyFont="1" applyFill="1" applyAlignment="1">
      <alignment wrapText="1"/>
    </xf>
    <xf numFmtId="174" fontId="21" fillId="33" borderId="11" xfId="0" applyNumberFormat="1" applyFont="1" applyFill="1" applyBorder="1" applyAlignment="1">
      <alignment horizontal="right" vertical="center" wrapText="1"/>
    </xf>
    <xf numFmtId="174" fontId="21" fillId="0" borderId="11" xfId="0" applyNumberFormat="1" applyFont="1" applyBorder="1" applyAlignment="1">
      <alignment horizontal="right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25" fillId="0" borderId="14" xfId="0" applyNumberFormat="1" applyFont="1" applyFill="1" applyBorder="1" applyAlignment="1">
      <alignment horizontal="right" vertical="center" wrapText="1"/>
    </xf>
    <xf numFmtId="174" fontId="25" fillId="0" borderId="14" xfId="0" applyNumberFormat="1" applyFont="1" applyBorder="1" applyAlignment="1">
      <alignment horizontal="right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0" fontId="7" fillId="0" borderId="0" xfId="0" applyNumberFormat="1" applyFont="1" applyAlignment="1">
      <alignment/>
    </xf>
    <xf numFmtId="174" fontId="21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20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73" fontId="2" fillId="0" borderId="11" xfId="0" applyNumberFormat="1" applyFont="1" applyFill="1" applyBorder="1" applyAlignment="1">
      <alignment horizontal="right" vertical="center" wrapText="1"/>
    </xf>
    <xf numFmtId="173" fontId="0" fillId="0" borderId="11" xfId="0" applyNumberFormat="1" applyFont="1" applyFill="1" applyBorder="1" applyAlignment="1">
      <alignment horizontal="right" vertical="center" wrapText="1"/>
    </xf>
    <xf numFmtId="173" fontId="0" fillId="0" borderId="11" xfId="0" applyNumberFormat="1" applyFont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168" fontId="0" fillId="0" borderId="11" xfId="0" applyNumberFormat="1" applyFont="1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right" vertical="center" wrapText="1"/>
    </xf>
    <xf numFmtId="174" fontId="2" fillId="0" borderId="0" xfId="0" applyNumberFormat="1" applyFont="1" applyFill="1" applyAlignment="1">
      <alignment/>
    </xf>
    <xf numFmtId="0" fontId="28" fillId="0" borderId="12" xfId="0" applyFont="1" applyBorder="1" applyAlignment="1">
      <alignment vertical="top" wrapText="1"/>
    </xf>
    <xf numFmtId="174" fontId="0" fillId="0" borderId="11" xfId="0" applyNumberFormat="1" applyFont="1" applyBorder="1" applyAlignment="1">
      <alignment horizontal="center" vertical="center" wrapText="1"/>
    </xf>
    <xf numFmtId="174" fontId="15" fillId="0" borderId="11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 horizontal="left"/>
    </xf>
    <xf numFmtId="4" fontId="12" fillId="0" borderId="0" xfId="0" applyNumberFormat="1" applyFont="1" applyFill="1" applyAlignment="1">
      <alignment wrapText="1"/>
    </xf>
    <xf numFmtId="4" fontId="14" fillId="0" borderId="0" xfId="0" applyNumberFormat="1" applyFont="1" applyAlignment="1">
      <alignment wrapText="1"/>
    </xf>
    <xf numFmtId="174" fontId="14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174" fontId="88" fillId="0" borderId="0" xfId="0" applyNumberFormat="1" applyFont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5" fillId="0" borderId="0" xfId="0" applyFont="1" applyAlignment="1">
      <alignment/>
    </xf>
    <xf numFmtId="0" fontId="88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4" fillId="0" borderId="17" xfId="0" applyFont="1" applyBorder="1" applyAlignment="1">
      <alignment/>
    </xf>
    <xf numFmtId="176" fontId="88" fillId="0" borderId="17" xfId="0" applyNumberFormat="1" applyFont="1" applyBorder="1" applyAlignment="1">
      <alignment/>
    </xf>
    <xf numFmtId="0" fontId="89" fillId="0" borderId="17" xfId="0" applyFont="1" applyBorder="1" applyAlignment="1">
      <alignment/>
    </xf>
    <xf numFmtId="0" fontId="88" fillId="0" borderId="17" xfId="0" applyFont="1" applyBorder="1" applyAlignment="1">
      <alignment/>
    </xf>
    <xf numFmtId="0" fontId="94" fillId="0" borderId="16" xfId="0" applyFont="1" applyFill="1" applyBorder="1" applyAlignment="1">
      <alignment horizontal="center" vertical="top" wrapText="1"/>
    </xf>
    <xf numFmtId="0" fontId="95" fillId="0" borderId="16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95" fillId="0" borderId="16" xfId="0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94" fillId="0" borderId="10" xfId="0" applyNumberFormat="1" applyFont="1" applyBorder="1" applyAlignment="1">
      <alignment horizontal="center" vertic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95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96" fillId="0" borderId="10" xfId="0" applyNumberFormat="1" applyFont="1" applyFill="1" applyBorder="1" applyAlignment="1">
      <alignment horizontal="center" vertical="center" wrapText="1"/>
    </xf>
    <xf numFmtId="0" fontId="97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70" fontId="0" fillId="33" borderId="11" xfId="0" applyNumberFormat="1" applyFont="1" applyFill="1" applyBorder="1" applyAlignment="1">
      <alignment horizontal="center" vertical="center" wrapText="1"/>
    </xf>
    <xf numFmtId="174" fontId="98" fillId="33" borderId="11" xfId="0" applyNumberFormat="1" applyFont="1" applyFill="1" applyBorder="1" applyAlignment="1">
      <alignment horizontal="right" vertical="center" wrapText="1"/>
    </xf>
    <xf numFmtId="174" fontId="99" fillId="33" borderId="11" xfId="0" applyNumberFormat="1" applyFont="1" applyFill="1" applyBorder="1" applyAlignment="1">
      <alignment horizontal="right" vertical="center" wrapText="1"/>
    </xf>
    <xf numFmtId="169" fontId="98" fillId="33" borderId="11" xfId="0" applyNumberFormat="1" applyFont="1" applyFill="1" applyBorder="1" applyAlignment="1">
      <alignment horizontal="right" vertical="center" wrapText="1"/>
    </xf>
    <xf numFmtId="169" fontId="99" fillId="33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74" fontId="90" fillId="0" borderId="11" xfId="0" applyNumberFormat="1" applyFont="1" applyFill="1" applyBorder="1" applyAlignment="1">
      <alignment horizontal="right" vertical="center" wrapText="1"/>
    </xf>
    <xf numFmtId="174" fontId="91" fillId="0" borderId="11" xfId="0" applyNumberFormat="1" applyFont="1" applyFill="1" applyBorder="1" applyAlignment="1">
      <alignment horizontal="right" vertical="center" wrapText="1"/>
    </xf>
    <xf numFmtId="169" fontId="90" fillId="0" borderId="11" xfId="0" applyNumberFormat="1" applyFont="1" applyFill="1" applyBorder="1" applyAlignment="1">
      <alignment horizontal="right" vertical="center" wrapText="1"/>
    </xf>
    <xf numFmtId="169" fontId="91" fillId="0" borderId="11" xfId="0" applyNumberFormat="1" applyFont="1" applyFill="1" applyBorder="1" applyAlignment="1">
      <alignment horizontal="right" vertical="center" wrapText="1"/>
    </xf>
    <xf numFmtId="174" fontId="90" fillId="0" borderId="11" xfId="0" applyNumberFormat="1" applyFont="1" applyBorder="1" applyAlignment="1">
      <alignment horizontal="center" vertical="center" wrapText="1"/>
    </xf>
    <xf numFmtId="174" fontId="91" fillId="0" borderId="11" xfId="0" applyNumberFormat="1" applyFont="1" applyBorder="1" applyAlignment="1">
      <alignment horizontal="center" vertical="center" wrapText="1"/>
    </xf>
    <xf numFmtId="169" fontId="90" fillId="0" borderId="11" xfId="0" applyNumberFormat="1" applyFont="1" applyBorder="1" applyAlignment="1">
      <alignment horizontal="center" vertical="center" wrapText="1"/>
    </xf>
    <xf numFmtId="169" fontId="91" fillId="0" borderId="11" xfId="0" applyNumberFormat="1" applyFont="1" applyBorder="1" applyAlignment="1">
      <alignment horizontal="center" vertical="center" wrapText="1"/>
    </xf>
    <xf numFmtId="170" fontId="0" fillId="34" borderId="11" xfId="0" applyNumberFormat="1" applyFont="1" applyFill="1" applyBorder="1" applyAlignment="1">
      <alignment horizontal="center" vertical="center" wrapText="1"/>
    </xf>
    <xf numFmtId="174" fontId="98" fillId="34" borderId="11" xfId="0" applyNumberFormat="1" applyFont="1" applyFill="1" applyBorder="1" applyAlignment="1">
      <alignment horizontal="center" vertical="center" wrapText="1"/>
    </xf>
    <xf numFmtId="174" fontId="99" fillId="34" borderId="11" xfId="0" applyNumberFormat="1" applyFont="1" applyFill="1" applyBorder="1" applyAlignment="1">
      <alignment horizontal="center" vertical="center" wrapText="1"/>
    </xf>
    <xf numFmtId="169" fontId="98" fillId="34" borderId="11" xfId="0" applyNumberFormat="1" applyFont="1" applyFill="1" applyBorder="1" applyAlignment="1">
      <alignment horizontal="center" vertical="center" wrapText="1"/>
    </xf>
    <xf numFmtId="169" fontId="99" fillId="34" borderId="11" xfId="0" applyNumberFormat="1" applyFont="1" applyFill="1" applyBorder="1" applyAlignment="1">
      <alignment horizontal="center" vertical="center" wrapText="1"/>
    </xf>
    <xf numFmtId="174" fontId="90" fillId="0" borderId="11" xfId="0" applyNumberFormat="1" applyFont="1" applyBorder="1" applyAlignment="1">
      <alignment horizontal="right" vertical="center" wrapText="1"/>
    </xf>
    <xf numFmtId="174" fontId="91" fillId="0" borderId="11" xfId="0" applyNumberFormat="1" applyFont="1" applyBorder="1" applyAlignment="1">
      <alignment horizontal="right" vertical="center" wrapText="1"/>
    </xf>
    <xf numFmtId="169" fontId="90" fillId="0" borderId="11" xfId="0" applyNumberFormat="1" applyFont="1" applyBorder="1" applyAlignment="1">
      <alignment horizontal="right" vertical="center" wrapText="1"/>
    </xf>
    <xf numFmtId="169" fontId="91" fillId="0" borderId="11" xfId="0" applyNumberFormat="1" applyFont="1" applyBorder="1" applyAlignment="1">
      <alignment horizontal="right" vertical="center" wrapText="1"/>
    </xf>
    <xf numFmtId="0" fontId="8" fillId="33" borderId="15" xfId="0" applyNumberFormat="1" applyFont="1" applyFill="1" applyBorder="1" applyAlignment="1">
      <alignment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174" fontId="98" fillId="0" borderId="11" xfId="0" applyNumberFormat="1" applyFont="1" applyBorder="1" applyAlignment="1">
      <alignment horizontal="right" vertical="center" wrapText="1"/>
    </xf>
    <xf numFmtId="174" fontId="99" fillId="0" borderId="11" xfId="0" applyNumberFormat="1" applyFont="1" applyBorder="1" applyAlignment="1">
      <alignment horizontal="right" vertical="center" wrapText="1"/>
    </xf>
    <xf numFmtId="169" fontId="98" fillId="0" borderId="11" xfId="0" applyNumberFormat="1" applyFont="1" applyBorder="1" applyAlignment="1">
      <alignment horizontal="right" vertical="center" wrapText="1"/>
    </xf>
    <xf numFmtId="169" fontId="99" fillId="0" borderId="11" xfId="0" applyNumberFormat="1" applyFont="1" applyBorder="1" applyAlignment="1">
      <alignment horizontal="right" vertical="center" wrapText="1"/>
    </xf>
    <xf numFmtId="0" fontId="8" fillId="34" borderId="15" xfId="0" applyNumberFormat="1" applyFont="1" applyFill="1" applyBorder="1" applyAlignment="1">
      <alignment vertical="center" wrapText="1"/>
    </xf>
    <xf numFmtId="0" fontId="8" fillId="34" borderId="13" xfId="0" applyNumberFormat="1" applyFont="1" applyFill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174" fontId="98" fillId="0" borderId="14" xfId="0" applyNumberFormat="1" applyFont="1" applyFill="1" applyBorder="1" applyAlignment="1">
      <alignment horizontal="right" vertical="center" wrapText="1"/>
    </xf>
    <xf numFmtId="174" fontId="99" fillId="0" borderId="14" xfId="0" applyNumberFormat="1" applyFont="1" applyFill="1" applyBorder="1" applyAlignment="1">
      <alignment horizontal="right" vertical="center" wrapText="1"/>
    </xf>
    <xf numFmtId="169" fontId="98" fillId="0" borderId="14" xfId="0" applyNumberFormat="1" applyFont="1" applyFill="1" applyBorder="1" applyAlignment="1">
      <alignment horizontal="right" vertical="center" wrapText="1"/>
    </xf>
    <xf numFmtId="169" fontId="99" fillId="0" borderId="14" xfId="0" applyNumberFormat="1" applyFont="1" applyFill="1" applyBorder="1" applyAlignment="1">
      <alignment horizontal="right" vertical="center" wrapText="1"/>
    </xf>
    <xf numFmtId="174" fontId="98" fillId="0" borderId="14" xfId="0" applyNumberFormat="1" applyFont="1" applyBorder="1" applyAlignment="1">
      <alignment horizontal="right" vertical="center" wrapText="1"/>
    </xf>
    <xf numFmtId="174" fontId="99" fillId="0" borderId="14" xfId="0" applyNumberFormat="1" applyFont="1" applyBorder="1" applyAlignment="1">
      <alignment horizontal="right" vertical="center" wrapText="1"/>
    </xf>
    <xf numFmtId="169" fontId="98" fillId="0" borderId="14" xfId="0" applyNumberFormat="1" applyFont="1" applyBorder="1" applyAlignment="1">
      <alignment horizontal="right" vertical="center" wrapText="1"/>
    </xf>
    <xf numFmtId="169" fontId="99" fillId="0" borderId="14" xfId="0" applyNumberFormat="1" applyFont="1" applyBorder="1" applyAlignment="1">
      <alignment horizontal="right" vertical="center" wrapText="1"/>
    </xf>
    <xf numFmtId="174" fontId="90" fillId="0" borderId="14" xfId="0" applyNumberFormat="1" applyFont="1" applyFill="1" applyBorder="1" applyAlignment="1">
      <alignment horizontal="right" vertical="center" wrapText="1"/>
    </xf>
    <xf numFmtId="174" fontId="91" fillId="0" borderId="14" xfId="0" applyNumberFormat="1" applyFont="1" applyFill="1" applyBorder="1" applyAlignment="1">
      <alignment horizontal="right" vertical="center" wrapText="1"/>
    </xf>
    <xf numFmtId="169" fontId="90" fillId="0" borderId="14" xfId="0" applyNumberFormat="1" applyFont="1" applyFill="1" applyBorder="1" applyAlignment="1">
      <alignment horizontal="right" vertical="center" wrapText="1"/>
    </xf>
    <xf numFmtId="169" fontId="91" fillId="0" borderId="14" xfId="0" applyNumberFormat="1" applyFont="1" applyFill="1" applyBorder="1" applyAlignment="1">
      <alignment horizontal="right" vertical="center" wrapText="1"/>
    </xf>
    <xf numFmtId="174" fontId="90" fillId="0" borderId="14" xfId="0" applyNumberFormat="1" applyFont="1" applyBorder="1" applyAlignment="1">
      <alignment horizontal="right" vertical="center" wrapText="1"/>
    </xf>
    <xf numFmtId="174" fontId="91" fillId="0" borderId="14" xfId="0" applyNumberFormat="1" applyFont="1" applyBorder="1" applyAlignment="1">
      <alignment horizontal="right" vertical="center" wrapText="1"/>
    </xf>
    <xf numFmtId="169" fontId="90" fillId="0" borderId="14" xfId="0" applyNumberFormat="1" applyFont="1" applyBorder="1" applyAlignment="1">
      <alignment horizontal="right" vertical="center" wrapText="1"/>
    </xf>
    <xf numFmtId="169" fontId="91" fillId="0" borderId="14" xfId="0" applyNumberFormat="1" applyFont="1" applyBorder="1" applyAlignment="1">
      <alignment horizontal="right" vertical="center" wrapText="1"/>
    </xf>
    <xf numFmtId="170" fontId="29" fillId="0" borderId="14" xfId="0" applyNumberFormat="1" applyFont="1" applyFill="1" applyBorder="1" applyAlignment="1">
      <alignment horizontal="left" vertical="center" wrapText="1"/>
    </xf>
    <xf numFmtId="169" fontId="98" fillId="0" borderId="14" xfId="0" applyNumberFormat="1" applyFont="1" applyFill="1" applyBorder="1" applyAlignment="1">
      <alignment horizontal="left" vertical="center" wrapText="1"/>
    </xf>
    <xf numFmtId="169" fontId="99" fillId="0" borderId="14" xfId="0" applyNumberFormat="1" applyFont="1" applyFill="1" applyBorder="1" applyAlignment="1">
      <alignment horizontal="left" vertical="center" wrapText="1"/>
    </xf>
    <xf numFmtId="169" fontId="2" fillId="0" borderId="14" xfId="0" applyNumberFormat="1" applyFont="1" applyFill="1" applyBorder="1" applyAlignment="1">
      <alignment horizontal="left" vertical="center" wrapText="1"/>
    </xf>
    <xf numFmtId="170" fontId="0" fillId="0" borderId="14" xfId="0" applyNumberFormat="1" applyFont="1" applyFill="1" applyBorder="1" applyAlignment="1">
      <alignment horizontal="center" vertical="center" wrapText="1"/>
    </xf>
    <xf numFmtId="174" fontId="98" fillId="0" borderId="11" xfId="0" applyNumberFormat="1" applyFont="1" applyFill="1" applyBorder="1" applyAlignment="1">
      <alignment horizontal="right" vertical="center" wrapText="1"/>
    </xf>
    <xf numFmtId="174" fontId="99" fillId="0" borderId="11" xfId="0" applyNumberFormat="1" applyFont="1" applyFill="1" applyBorder="1" applyAlignment="1">
      <alignment horizontal="right" vertical="center" wrapText="1"/>
    </xf>
    <xf numFmtId="170" fontId="2" fillId="0" borderId="14" xfId="0" applyNumberFormat="1" applyFont="1" applyFill="1" applyBorder="1" applyAlignment="1">
      <alignment horizontal="left" vertical="center" wrapText="1"/>
    </xf>
    <xf numFmtId="169" fontId="98" fillId="0" borderId="11" xfId="0" applyNumberFormat="1" applyFont="1" applyFill="1" applyBorder="1" applyAlignment="1">
      <alignment horizontal="right" vertical="center" wrapText="1"/>
    </xf>
    <xf numFmtId="169" fontId="99" fillId="0" borderId="11" xfId="0" applyNumberFormat="1" applyFont="1" applyFill="1" applyBorder="1" applyAlignment="1">
      <alignment horizontal="right" vertical="center" wrapText="1"/>
    </xf>
    <xf numFmtId="174" fontId="100" fillId="0" borderId="11" xfId="0" applyNumberFormat="1" applyFont="1" applyFill="1" applyBorder="1" applyAlignment="1">
      <alignment horizontal="right" vertical="center" wrapText="1"/>
    </xf>
    <xf numFmtId="174" fontId="101" fillId="0" borderId="11" xfId="0" applyNumberFormat="1" applyFont="1" applyFill="1" applyBorder="1" applyAlignment="1">
      <alignment horizontal="right" vertical="center" wrapText="1"/>
    </xf>
    <xf numFmtId="169" fontId="100" fillId="0" borderId="11" xfId="0" applyNumberFormat="1" applyFont="1" applyFill="1" applyBorder="1" applyAlignment="1">
      <alignment horizontal="right" vertical="center" wrapText="1"/>
    </xf>
    <xf numFmtId="169" fontId="101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center" vertical="center" wrapText="1"/>
    </xf>
    <xf numFmtId="170" fontId="11" fillId="0" borderId="14" xfId="0" applyNumberFormat="1" applyFont="1" applyFill="1" applyBorder="1" applyAlignment="1">
      <alignment horizontal="center" vertical="center" wrapText="1"/>
    </xf>
    <xf numFmtId="170" fontId="29" fillId="0" borderId="11" xfId="0" applyNumberFormat="1" applyFont="1" applyFill="1" applyBorder="1" applyAlignment="1">
      <alignment horizontal="left" vertical="center" wrapText="1"/>
    </xf>
    <xf numFmtId="169" fontId="102" fillId="0" borderId="14" xfId="0" applyNumberFormat="1" applyFont="1" applyFill="1" applyBorder="1" applyAlignment="1">
      <alignment horizontal="left" vertical="center" wrapText="1"/>
    </xf>
    <xf numFmtId="169" fontId="103" fillId="0" borderId="14" xfId="0" applyNumberFormat="1" applyFont="1" applyFill="1" applyBorder="1" applyAlignment="1">
      <alignment horizontal="left" vertical="center" wrapText="1"/>
    </xf>
    <xf numFmtId="169" fontId="21" fillId="0" borderId="14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6" borderId="13" xfId="0" applyNumberFormat="1" applyFont="1" applyFill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170" fontId="29" fillId="0" borderId="14" xfId="0" applyNumberFormat="1" applyFont="1" applyBorder="1" applyAlignment="1">
      <alignment horizontal="left" vertical="center" wrapText="1"/>
    </xf>
    <xf numFmtId="169" fontId="98" fillId="0" borderId="11" xfId="0" applyNumberFormat="1" applyFont="1" applyFill="1" applyBorder="1" applyAlignment="1">
      <alignment horizontal="left" vertical="center" wrapText="1"/>
    </xf>
    <xf numFmtId="169" fontId="99" fillId="0" borderId="11" xfId="0" applyNumberFormat="1" applyFont="1" applyFill="1" applyBorder="1" applyAlignment="1">
      <alignment horizontal="left" vertical="center" wrapText="1"/>
    </xf>
    <xf numFmtId="170" fontId="2" fillId="0" borderId="11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170" fontId="99" fillId="0" borderId="11" xfId="0" applyNumberFormat="1" applyFont="1" applyFill="1" applyBorder="1" applyAlignment="1">
      <alignment horizontal="left" vertical="center" wrapText="1"/>
    </xf>
    <xf numFmtId="174" fontId="104" fillId="0" borderId="11" xfId="0" applyNumberFormat="1" applyFont="1" applyFill="1" applyBorder="1" applyAlignment="1">
      <alignment horizontal="center" vertical="center" wrapText="1"/>
    </xf>
    <xf numFmtId="174" fontId="105" fillId="0" borderId="11" xfId="0" applyNumberFormat="1" applyFont="1" applyFill="1" applyBorder="1" applyAlignment="1">
      <alignment horizontal="center" vertical="center" wrapText="1"/>
    </xf>
    <xf numFmtId="169" fontId="104" fillId="0" borderId="11" xfId="0" applyNumberFormat="1" applyFont="1" applyFill="1" applyBorder="1" applyAlignment="1">
      <alignment horizontal="center" vertical="center" wrapText="1"/>
    </xf>
    <xf numFmtId="169" fontId="105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 wrapText="1"/>
    </xf>
    <xf numFmtId="170" fontId="7" fillId="0" borderId="14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left" vertical="center" wrapText="1"/>
    </xf>
    <xf numFmtId="0" fontId="8" fillId="36" borderId="15" xfId="0" applyNumberFormat="1" applyFont="1" applyFill="1" applyBorder="1" applyAlignment="1">
      <alignment vertical="center" wrapText="1"/>
    </xf>
    <xf numFmtId="170" fontId="90" fillId="0" borderId="11" xfId="0" applyNumberFormat="1" applyFont="1" applyBorder="1" applyAlignment="1">
      <alignment horizontal="right" vertical="center" wrapText="1"/>
    </xf>
    <xf numFmtId="170" fontId="91" fillId="0" borderId="11" xfId="0" applyNumberFormat="1" applyFont="1" applyBorder="1" applyAlignment="1">
      <alignment horizontal="right" vertical="center" wrapText="1"/>
    </xf>
    <xf numFmtId="170" fontId="91" fillId="0" borderId="11" xfId="0" applyNumberFormat="1" applyFont="1" applyFill="1" applyBorder="1" applyAlignment="1">
      <alignment horizontal="right" vertical="center" wrapText="1"/>
    </xf>
    <xf numFmtId="0" fontId="7" fillId="36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106" fillId="0" borderId="0" xfId="0" applyFont="1" applyAlignment="1">
      <alignment/>
    </xf>
    <xf numFmtId="0" fontId="94" fillId="0" borderId="16" xfId="0" applyNumberFormat="1" applyFont="1" applyFill="1" applyBorder="1" applyAlignment="1">
      <alignment horizontal="center" vertical="center" wrapText="1"/>
    </xf>
    <xf numFmtId="174" fontId="98" fillId="33" borderId="14" xfId="0" applyNumberFormat="1" applyFont="1" applyFill="1" applyBorder="1" applyAlignment="1">
      <alignment horizontal="right" vertical="center" wrapText="1"/>
    </xf>
    <xf numFmtId="174" fontId="90" fillId="0" borderId="14" xfId="0" applyNumberFormat="1" applyFont="1" applyBorder="1" applyAlignment="1">
      <alignment horizontal="center" vertical="center" wrapText="1"/>
    </xf>
    <xf numFmtId="174" fontId="98" fillId="34" borderId="14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center" wrapText="1"/>
    </xf>
    <xf numFmtId="170" fontId="2" fillId="33" borderId="18" xfId="0" applyNumberFormat="1" applyFont="1" applyFill="1" applyBorder="1" applyAlignment="1">
      <alignment horizontal="right" vertical="center" wrapText="1"/>
    </xf>
    <xf numFmtId="170" fontId="0" fillId="0" borderId="18" xfId="0" applyNumberFormat="1" applyFont="1" applyFill="1" applyBorder="1" applyAlignment="1">
      <alignment horizontal="right" vertical="center" wrapText="1"/>
    </xf>
    <xf numFmtId="170" fontId="0" fillId="0" borderId="18" xfId="0" applyNumberFormat="1" applyFont="1" applyBorder="1" applyAlignment="1">
      <alignment horizontal="center" vertical="center" wrapText="1"/>
    </xf>
    <xf numFmtId="170" fontId="2" fillId="34" borderId="18" xfId="0" applyNumberFormat="1" applyFont="1" applyFill="1" applyBorder="1" applyAlignment="1">
      <alignment horizontal="center" vertical="center" wrapText="1"/>
    </xf>
    <xf numFmtId="170" fontId="0" fillId="0" borderId="18" xfId="0" applyNumberFormat="1" applyFont="1" applyBorder="1" applyAlignment="1">
      <alignment horizontal="right" vertical="center" wrapText="1"/>
    </xf>
    <xf numFmtId="174" fontId="100" fillId="0" borderId="14" xfId="0" applyNumberFormat="1" applyFont="1" applyFill="1" applyBorder="1" applyAlignment="1">
      <alignment horizontal="right" vertical="center" wrapText="1"/>
    </xf>
    <xf numFmtId="170" fontId="2" fillId="0" borderId="18" xfId="0" applyNumberFormat="1" applyFont="1" applyFill="1" applyBorder="1" applyAlignment="1">
      <alignment horizontal="right" vertical="center" wrapText="1"/>
    </xf>
    <xf numFmtId="169" fontId="2" fillId="0" borderId="18" xfId="0" applyNumberFormat="1" applyFont="1" applyFill="1" applyBorder="1" applyAlignment="1">
      <alignment horizontal="left" vertical="center" wrapText="1"/>
    </xf>
    <xf numFmtId="170" fontId="11" fillId="0" borderId="18" xfId="0" applyNumberFormat="1" applyFont="1" applyFill="1" applyBorder="1" applyAlignment="1">
      <alignment horizontal="right" vertical="center" wrapText="1"/>
    </xf>
    <xf numFmtId="170" fontId="2" fillId="0" borderId="18" xfId="0" applyNumberFormat="1" applyFont="1" applyFill="1" applyBorder="1" applyAlignment="1">
      <alignment horizontal="left" vertical="center" wrapText="1"/>
    </xf>
    <xf numFmtId="170" fontId="0" fillId="0" borderId="18" xfId="0" applyNumberFormat="1" applyFont="1" applyFill="1" applyBorder="1" applyAlignment="1">
      <alignment horizontal="right" vertical="center" wrapText="1"/>
    </xf>
    <xf numFmtId="169" fontId="2" fillId="0" borderId="13" xfId="0" applyNumberFormat="1" applyFont="1" applyFill="1" applyBorder="1" applyAlignment="1">
      <alignment horizontal="left" vertical="center" wrapText="1"/>
    </xf>
    <xf numFmtId="174" fontId="98" fillId="0" borderId="20" xfId="0" applyNumberFormat="1" applyFont="1" applyFill="1" applyBorder="1" applyAlignment="1">
      <alignment horizontal="right" vertical="center" wrapText="1"/>
    </xf>
    <xf numFmtId="170" fontId="15" fillId="0" borderId="18" xfId="0" applyNumberFormat="1" applyFont="1" applyBorder="1" applyAlignment="1">
      <alignment horizontal="center" vertical="center" wrapText="1"/>
    </xf>
    <xf numFmtId="170" fontId="2" fillId="0" borderId="18" xfId="0" applyNumberFormat="1" applyFont="1" applyBorder="1" applyAlignment="1">
      <alignment horizontal="right" vertical="center" wrapText="1"/>
    </xf>
    <xf numFmtId="169" fontId="21" fillId="0" borderId="18" xfId="0" applyNumberFormat="1" applyFont="1" applyFill="1" applyBorder="1" applyAlignment="1">
      <alignment horizontal="left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174" fontId="2" fillId="37" borderId="18" xfId="0" applyNumberFormat="1" applyFont="1" applyFill="1" applyBorder="1" applyAlignment="1">
      <alignment horizontal="right" vertical="center" wrapText="1"/>
    </xf>
    <xf numFmtId="174" fontId="0" fillId="0" borderId="18" xfId="0" applyNumberFormat="1" applyFont="1" applyFill="1" applyBorder="1" applyAlignment="1">
      <alignment horizontal="right" vertical="center" wrapText="1"/>
    </xf>
    <xf numFmtId="174" fontId="0" fillId="0" borderId="18" xfId="0" applyNumberFormat="1" applyFont="1" applyBorder="1" applyAlignment="1">
      <alignment horizontal="center" vertical="center" wrapText="1"/>
    </xf>
    <xf numFmtId="174" fontId="2" fillId="34" borderId="18" xfId="0" applyNumberFormat="1" applyFont="1" applyFill="1" applyBorder="1" applyAlignment="1">
      <alignment horizontal="center" vertical="center" wrapText="1"/>
    </xf>
    <xf numFmtId="174" fontId="0" fillId="0" borderId="18" xfId="0" applyNumberFormat="1" applyFont="1" applyBorder="1" applyAlignment="1">
      <alignment horizontal="right" vertical="center" wrapText="1"/>
    </xf>
    <xf numFmtId="174" fontId="15" fillId="0" borderId="18" xfId="0" applyNumberFormat="1" applyFont="1" applyBorder="1" applyAlignment="1">
      <alignment horizontal="center" vertical="center" wrapText="1"/>
    </xf>
    <xf numFmtId="174" fontId="2" fillId="0" borderId="18" xfId="0" applyNumberFormat="1" applyFont="1" applyBorder="1" applyAlignment="1">
      <alignment horizontal="right" vertical="center" wrapText="1"/>
    </xf>
    <xf numFmtId="174" fontId="2" fillId="0" borderId="18" xfId="0" applyNumberFormat="1" applyFont="1" applyFill="1" applyBorder="1" applyAlignment="1">
      <alignment horizontal="right" vertical="center" wrapText="1"/>
    </xf>
    <xf numFmtId="170" fontId="0" fillId="0" borderId="15" xfId="0" applyNumberFormat="1" applyFont="1" applyFill="1" applyBorder="1" applyAlignment="1">
      <alignment horizontal="right" vertical="center" wrapText="1"/>
    </xf>
    <xf numFmtId="174" fontId="90" fillId="0" borderId="20" xfId="0" applyNumberFormat="1" applyFont="1" applyFill="1" applyBorder="1" applyAlignment="1">
      <alignment horizontal="right" vertical="center" wrapText="1"/>
    </xf>
    <xf numFmtId="174" fontId="11" fillId="0" borderId="18" xfId="0" applyNumberFormat="1" applyFont="1" applyFill="1" applyBorder="1" applyAlignment="1">
      <alignment horizontal="right" vertical="center" wrapText="1"/>
    </xf>
    <xf numFmtId="174" fontId="0" fillId="0" borderId="18" xfId="0" applyNumberFormat="1" applyFont="1" applyFill="1" applyBorder="1" applyAlignment="1">
      <alignment horizontal="right" vertical="center" wrapText="1"/>
    </xf>
    <xf numFmtId="174" fontId="0" fillId="0" borderId="13" xfId="0" applyNumberFormat="1" applyFont="1" applyFill="1" applyBorder="1" applyAlignment="1">
      <alignment horizontal="right" vertical="center" wrapText="1"/>
    </xf>
    <xf numFmtId="174" fontId="104" fillId="0" borderId="14" xfId="0" applyNumberFormat="1" applyFont="1" applyFill="1" applyBorder="1" applyAlignment="1">
      <alignment horizontal="center" vertical="center" wrapText="1"/>
    </xf>
    <xf numFmtId="170" fontId="7" fillId="0" borderId="18" xfId="0" applyNumberFormat="1" applyFont="1" applyFill="1" applyBorder="1" applyAlignment="1">
      <alignment horizontal="center" vertical="center" wrapText="1"/>
    </xf>
    <xf numFmtId="174" fontId="7" fillId="0" borderId="18" xfId="0" applyNumberFormat="1" applyFont="1" applyFill="1" applyBorder="1" applyAlignment="1">
      <alignment horizontal="center" vertical="center" wrapText="1"/>
    </xf>
    <xf numFmtId="170" fontId="0" fillId="0" borderId="15" xfId="0" applyNumberFormat="1" applyFont="1" applyBorder="1" applyAlignment="1">
      <alignment horizontal="right" vertical="center" wrapText="1"/>
    </xf>
    <xf numFmtId="174" fontId="0" fillId="0" borderId="18" xfId="0" applyNumberFormat="1" applyFont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170" fontId="0" fillId="0" borderId="22" xfId="0" applyNumberFormat="1" applyFont="1" applyFill="1" applyBorder="1" applyAlignment="1">
      <alignment horizontal="center" vertical="center" wrapText="1"/>
    </xf>
    <xf numFmtId="174" fontId="0" fillId="10" borderId="11" xfId="0" applyNumberFormat="1" applyFont="1" applyFill="1" applyBorder="1" applyAlignment="1">
      <alignment horizontal="right" vertical="center" wrapText="1"/>
    </xf>
    <xf numFmtId="174" fontId="2" fillId="0" borderId="15" xfId="0" applyNumberFormat="1" applyFont="1" applyFill="1" applyBorder="1" applyAlignment="1">
      <alignment horizontal="right" vertical="center" wrapText="1"/>
    </xf>
    <xf numFmtId="174" fontId="0" fillId="0" borderId="15" xfId="0" applyNumberFormat="1" applyFont="1" applyFill="1" applyBorder="1" applyAlignment="1">
      <alignment horizontal="righ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36" borderId="15" xfId="0" applyNumberFormat="1" applyFont="1" applyFill="1" applyBorder="1" applyAlignment="1">
      <alignment horizontal="center" vertical="center" wrapText="1"/>
    </xf>
    <xf numFmtId="0" fontId="8" fillId="36" borderId="13" xfId="0" applyNumberFormat="1" applyFont="1" applyFill="1" applyBorder="1" applyAlignment="1">
      <alignment horizontal="center" vertical="center" wrapText="1"/>
    </xf>
    <xf numFmtId="0" fontId="8" fillId="36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4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6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view="pageBreakPreview" zoomScaleSheetLayoutView="100" zoomScalePageLayoutView="0" workbookViewId="0" topLeftCell="A1">
      <pane xSplit="2" ySplit="14" topLeftCell="C42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486" sqref="B486"/>
    </sheetView>
  </sheetViews>
  <sheetFormatPr defaultColWidth="9.00390625" defaultRowHeight="12.75"/>
  <cols>
    <col min="1" max="1" width="7.00390625" style="122" customWidth="1"/>
    <col min="2" max="2" width="66.75390625" style="78" customWidth="1"/>
    <col min="3" max="3" width="15.375" style="3" customWidth="1"/>
    <col min="4" max="4" width="13.125" style="0" customWidth="1"/>
    <col min="5" max="5" width="13.625" style="0" customWidth="1"/>
    <col min="6" max="6" width="13.75390625" style="133" customWidth="1"/>
    <col min="7" max="7" width="14.125" style="0" customWidth="1"/>
    <col min="8" max="10" width="14.25390625" style="0" customWidth="1"/>
    <col min="11" max="11" width="30.375" style="47" customWidth="1"/>
    <col min="12" max="12" width="17.125" style="0" customWidth="1"/>
    <col min="13" max="13" width="17.75390625" style="0" customWidth="1"/>
  </cols>
  <sheetData>
    <row r="1" spans="1:11" s="1" customFormat="1" ht="15.75" customHeight="1">
      <c r="A1" s="122"/>
      <c r="B1" s="2"/>
      <c r="C1" s="80"/>
      <c r="F1" s="130"/>
      <c r="G1" s="60"/>
      <c r="H1" s="378" t="s">
        <v>226</v>
      </c>
      <c r="I1" s="378"/>
      <c r="J1" s="378"/>
      <c r="K1" s="378"/>
    </row>
    <row r="2" spans="1:11" s="1" customFormat="1" ht="15.75" customHeight="1">
      <c r="A2" s="122"/>
      <c r="B2" s="59"/>
      <c r="C2" s="81"/>
      <c r="E2" s="46"/>
      <c r="F2" s="109"/>
      <c r="G2" s="46"/>
      <c r="H2" s="378" t="s">
        <v>227</v>
      </c>
      <c r="I2" s="378"/>
      <c r="J2" s="378"/>
      <c r="K2" s="378"/>
    </row>
    <row r="3" spans="1:11" s="1" customFormat="1" ht="15.75" customHeight="1">
      <c r="A3" s="122"/>
      <c r="B3" s="59"/>
      <c r="C3" s="81"/>
      <c r="D3" s="121"/>
      <c r="E3" s="46"/>
      <c r="F3" s="109"/>
      <c r="G3" s="46"/>
      <c r="H3" s="378" t="s">
        <v>479</v>
      </c>
      <c r="I3" s="378"/>
      <c r="J3" s="378"/>
      <c r="K3" s="378"/>
    </row>
    <row r="4" spans="1:11" s="1" customFormat="1" ht="15.75" customHeight="1">
      <c r="A4" s="122"/>
      <c r="B4" s="59"/>
      <c r="C4" s="81"/>
      <c r="E4" s="46"/>
      <c r="F4" s="109"/>
      <c r="G4" s="46"/>
      <c r="H4" s="378" t="s">
        <v>168</v>
      </c>
      <c r="I4" s="378"/>
      <c r="J4" s="378"/>
      <c r="K4" s="378"/>
    </row>
    <row r="5" spans="1:11" s="1" customFormat="1" ht="15.75" customHeight="1">
      <c r="A5" s="122"/>
      <c r="B5" s="59"/>
      <c r="C5" s="81"/>
      <c r="D5" s="121"/>
      <c r="E5" s="46"/>
      <c r="F5" s="109"/>
      <c r="G5" s="46"/>
      <c r="H5" s="378" t="s">
        <v>169</v>
      </c>
      <c r="I5" s="378"/>
      <c r="J5" s="378"/>
      <c r="K5" s="378"/>
    </row>
    <row r="6" spans="1:11" s="1" customFormat="1" ht="15.75" customHeight="1">
      <c r="A6" s="122"/>
      <c r="B6" s="59"/>
      <c r="C6" s="81"/>
      <c r="E6" s="46"/>
      <c r="F6" s="109"/>
      <c r="G6" s="46"/>
      <c r="H6" s="392"/>
      <c r="I6" s="392"/>
      <c r="J6" s="392"/>
      <c r="K6" s="392"/>
    </row>
    <row r="7" spans="1:11" s="1" customFormat="1" ht="15">
      <c r="A7" s="122"/>
      <c r="B7" s="59"/>
      <c r="C7" s="194"/>
      <c r="E7" s="46"/>
      <c r="F7" s="109"/>
      <c r="G7" s="203"/>
      <c r="H7" s="392"/>
      <c r="I7" s="392"/>
      <c r="J7" s="392"/>
      <c r="K7" s="392"/>
    </row>
    <row r="8" spans="1:11" s="1" customFormat="1" ht="15.75">
      <c r="A8" s="379" t="s">
        <v>532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</row>
    <row r="9" spans="1:11" s="1" customFormat="1" ht="15.75">
      <c r="A9" s="379" t="s">
        <v>4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</row>
    <row r="10" spans="1:11" s="1" customFormat="1" ht="15.75">
      <c r="A10" s="379" t="s">
        <v>70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</row>
    <row r="11" spans="1:11" s="1" customFormat="1" ht="15">
      <c r="A11" s="122"/>
      <c r="B11" s="2"/>
      <c r="C11" s="138"/>
      <c r="F11" s="130"/>
      <c r="I11" s="173"/>
      <c r="J11" s="173"/>
      <c r="K11" s="198"/>
    </row>
    <row r="12" spans="1:11" s="3" customFormat="1" ht="26.25" customHeight="1">
      <c r="A12" s="383" t="s">
        <v>3</v>
      </c>
      <c r="B12" s="396" t="s">
        <v>89</v>
      </c>
      <c r="C12" s="393" t="s">
        <v>88</v>
      </c>
      <c r="D12" s="394"/>
      <c r="E12" s="394"/>
      <c r="F12" s="394"/>
      <c r="G12" s="394"/>
      <c r="H12" s="394"/>
      <c r="I12" s="394"/>
      <c r="J12" s="395"/>
      <c r="K12" s="396" t="s">
        <v>6</v>
      </c>
    </row>
    <row r="13" spans="1:11" s="3" customFormat="1" ht="30.75" customHeight="1">
      <c r="A13" s="384"/>
      <c r="B13" s="398"/>
      <c r="C13" s="396" t="s">
        <v>5</v>
      </c>
      <c r="D13" s="131" t="s">
        <v>91</v>
      </c>
      <c r="E13" s="131" t="s">
        <v>92</v>
      </c>
      <c r="F13" s="131" t="s">
        <v>93</v>
      </c>
      <c r="G13" s="4" t="s">
        <v>215</v>
      </c>
      <c r="H13" s="131" t="s">
        <v>95</v>
      </c>
      <c r="I13" s="131" t="s">
        <v>96</v>
      </c>
      <c r="J13" s="131" t="s">
        <v>97</v>
      </c>
      <c r="K13" s="398"/>
    </row>
    <row r="14" spans="1:13" s="3" customFormat="1" ht="15.75" customHeight="1">
      <c r="A14" s="385"/>
      <c r="B14" s="397"/>
      <c r="C14" s="397"/>
      <c r="D14" s="131">
        <v>2014</v>
      </c>
      <c r="E14" s="131">
        <v>2015</v>
      </c>
      <c r="F14" s="131">
        <v>2016</v>
      </c>
      <c r="G14" s="4">
        <v>2017</v>
      </c>
      <c r="H14" s="131">
        <v>2018</v>
      </c>
      <c r="I14" s="131">
        <v>2019</v>
      </c>
      <c r="J14" s="131">
        <v>2020</v>
      </c>
      <c r="K14" s="397"/>
      <c r="L14" s="202" t="s">
        <v>214</v>
      </c>
      <c r="M14" s="202" t="s">
        <v>483</v>
      </c>
    </row>
    <row r="15" spans="1:13" s="15" customFormat="1" ht="30" customHeight="1">
      <c r="A15" s="123">
        <v>1</v>
      </c>
      <c r="B15" s="28" t="s">
        <v>41</v>
      </c>
      <c r="C15" s="165">
        <f>SUM(D15:J15)</f>
        <v>4957709.87919</v>
      </c>
      <c r="D15" s="84">
        <f aca="true" t="shared" si="0" ref="D15:J15">SUM(D16:D19)</f>
        <v>707299.138</v>
      </c>
      <c r="E15" s="136">
        <f t="shared" si="0"/>
        <v>713636.937</v>
      </c>
      <c r="F15" s="139">
        <f t="shared" si="0"/>
        <v>704438.8596000001</v>
      </c>
      <c r="G15" s="139">
        <f t="shared" si="0"/>
        <v>725585.34459</v>
      </c>
      <c r="H15" s="139">
        <f t="shared" si="0"/>
        <v>716245.5</v>
      </c>
      <c r="I15" s="139">
        <f>SUM(I16:I19)</f>
        <v>686587.8</v>
      </c>
      <c r="J15" s="139">
        <f t="shared" si="0"/>
        <v>703916.3</v>
      </c>
      <c r="K15" s="48"/>
      <c r="L15" s="199">
        <f>SUM(L16:L19)</f>
        <v>706700.90259</v>
      </c>
      <c r="M15" s="164">
        <f>SUM(M16:M19)</f>
        <v>18884.44200000001</v>
      </c>
    </row>
    <row r="16" spans="1:13" s="17" customFormat="1" ht="15" customHeight="1">
      <c r="A16" s="77">
        <v>2</v>
      </c>
      <c r="B16" s="5" t="s">
        <v>7</v>
      </c>
      <c r="C16" s="166">
        <f>SUM(C22+C28)</f>
        <v>1974414.47219</v>
      </c>
      <c r="D16" s="83">
        <f>SUM(D22+D28)</f>
        <v>315595.163</v>
      </c>
      <c r="E16" s="83">
        <f aca="true" t="shared" si="1" ref="E16:F19">SUM(E22+E28)</f>
        <v>323285.155</v>
      </c>
      <c r="F16" s="140">
        <f t="shared" si="1"/>
        <v>237126.25960000002</v>
      </c>
      <c r="G16" s="140">
        <f aca="true" t="shared" si="2" ref="G16:J19">SUM(G22+G28)</f>
        <v>272805.89459</v>
      </c>
      <c r="H16" s="140">
        <f t="shared" si="2"/>
        <v>296407</v>
      </c>
      <c r="I16" s="140">
        <f t="shared" si="2"/>
        <v>262120.90000000002</v>
      </c>
      <c r="J16" s="140">
        <f t="shared" si="2"/>
        <v>267074.1</v>
      </c>
      <c r="K16" s="120"/>
      <c r="L16" s="200">
        <v>252057.60259</v>
      </c>
      <c r="M16" s="201">
        <f>G16-L16</f>
        <v>20748.291999999987</v>
      </c>
    </row>
    <row r="17" spans="1:13" s="17" customFormat="1" ht="15" customHeight="1">
      <c r="A17" s="77">
        <v>3</v>
      </c>
      <c r="B17" s="5" t="s">
        <v>8</v>
      </c>
      <c r="C17" s="166">
        <f>SUM(C23+C29)</f>
        <v>20310.906</v>
      </c>
      <c r="D17" s="83">
        <f aca="true" t="shared" si="3" ref="C17:D19">SUM(D23+D29)</f>
        <v>13957.775</v>
      </c>
      <c r="E17" s="83">
        <f>SUM(E23+E29)</f>
        <v>2441.431</v>
      </c>
      <c r="F17" s="140">
        <f t="shared" si="1"/>
        <v>3911.7</v>
      </c>
      <c r="G17" s="140">
        <f t="shared" si="2"/>
        <v>0</v>
      </c>
      <c r="H17" s="140">
        <f t="shared" si="2"/>
        <v>0</v>
      </c>
      <c r="I17" s="140">
        <f t="shared" si="2"/>
        <v>0</v>
      </c>
      <c r="J17" s="140">
        <f t="shared" si="2"/>
        <v>0</v>
      </c>
      <c r="K17" s="120"/>
      <c r="L17" s="200"/>
      <c r="M17" s="201">
        <f>G17-L17</f>
        <v>0</v>
      </c>
    </row>
    <row r="18" spans="1:13" s="17" customFormat="1" ht="15" customHeight="1">
      <c r="A18" s="77">
        <v>4</v>
      </c>
      <c r="B18" s="5" t="s">
        <v>9</v>
      </c>
      <c r="C18" s="166">
        <f>SUM(C24+C30)</f>
        <v>2671287.1010000003</v>
      </c>
      <c r="D18" s="83">
        <f>SUM(D24+D30)</f>
        <v>342548.8</v>
      </c>
      <c r="E18" s="83">
        <f>SUM(E24+E30)</f>
        <v>349910.351</v>
      </c>
      <c r="F18" s="140">
        <f>SUM(F24+F30)</f>
        <v>421700.9</v>
      </c>
      <c r="G18" s="140">
        <f t="shared" si="2"/>
        <v>408579.45</v>
      </c>
      <c r="H18" s="140">
        <f t="shared" si="2"/>
        <v>375638.5</v>
      </c>
      <c r="I18" s="140">
        <f t="shared" si="2"/>
        <v>380266.9</v>
      </c>
      <c r="J18" s="140">
        <f t="shared" si="2"/>
        <v>392642.2</v>
      </c>
      <c r="K18" s="120"/>
      <c r="L18" s="200">
        <v>410443.3</v>
      </c>
      <c r="M18" s="201">
        <f>G18-L18</f>
        <v>-1863.8499999999767</v>
      </c>
    </row>
    <row r="19" spans="1:13" s="17" customFormat="1" ht="15" customHeight="1">
      <c r="A19" s="77">
        <v>5</v>
      </c>
      <c r="B19" s="5" t="s">
        <v>10</v>
      </c>
      <c r="C19" s="166">
        <f t="shared" si="3"/>
        <v>291697.4</v>
      </c>
      <c r="D19" s="83">
        <f t="shared" si="3"/>
        <v>35197.4</v>
      </c>
      <c r="E19" s="83">
        <f t="shared" si="1"/>
        <v>38000</v>
      </c>
      <c r="F19" s="140">
        <f t="shared" si="1"/>
        <v>41700</v>
      </c>
      <c r="G19" s="140">
        <f t="shared" si="2"/>
        <v>44200</v>
      </c>
      <c r="H19" s="140">
        <f t="shared" si="2"/>
        <v>44200</v>
      </c>
      <c r="I19" s="140">
        <f t="shared" si="2"/>
        <v>44200</v>
      </c>
      <c r="J19" s="140">
        <f t="shared" si="2"/>
        <v>44200</v>
      </c>
      <c r="K19" s="120"/>
      <c r="L19" s="200">
        <v>44200</v>
      </c>
      <c r="M19" s="201">
        <f>G19-L19</f>
        <v>0</v>
      </c>
    </row>
    <row r="20" spans="1:11" s="17" customFormat="1" ht="15" customHeight="1">
      <c r="A20" s="77"/>
      <c r="B20" s="5"/>
      <c r="C20" s="174"/>
      <c r="D20" s="110"/>
      <c r="E20" s="110"/>
      <c r="F20" s="141"/>
      <c r="G20" s="196"/>
      <c r="H20" s="196"/>
      <c r="I20" s="196"/>
      <c r="J20" s="196"/>
      <c r="K20" s="49"/>
    </row>
    <row r="21" spans="1:11" s="18" customFormat="1" ht="30" customHeight="1">
      <c r="A21" s="124">
        <v>6</v>
      </c>
      <c r="B21" s="29" t="s">
        <v>25</v>
      </c>
      <c r="C21" s="154">
        <f>SUM(C22:C25)</f>
        <v>153305.855</v>
      </c>
      <c r="D21" s="111">
        <f aca="true" t="shared" si="4" ref="D21:J21">SUM(D22:D25)</f>
        <v>54205.854999999996</v>
      </c>
      <c r="E21" s="137">
        <f t="shared" si="4"/>
        <v>7500</v>
      </c>
      <c r="F21" s="142">
        <f t="shared" si="4"/>
        <v>10000</v>
      </c>
      <c r="G21" s="154">
        <f t="shared" si="4"/>
        <v>40000</v>
      </c>
      <c r="H21" s="154">
        <f t="shared" si="4"/>
        <v>40500</v>
      </c>
      <c r="I21" s="154">
        <f t="shared" si="4"/>
        <v>1100</v>
      </c>
      <c r="J21" s="154">
        <f t="shared" si="4"/>
        <v>0</v>
      </c>
      <c r="K21" s="48"/>
    </row>
    <row r="22" spans="1:11" s="17" customFormat="1" ht="15" customHeight="1">
      <c r="A22" s="77">
        <v>7</v>
      </c>
      <c r="B22" s="5" t="s">
        <v>7</v>
      </c>
      <c r="C22" s="153">
        <f aca="true" t="shared" si="5" ref="C22:J22">SUM(C41+C152+C310+C338+C371+C426)</f>
        <v>105194.55500000001</v>
      </c>
      <c r="D22" s="87">
        <f t="shared" si="5"/>
        <v>6094.555</v>
      </c>
      <c r="E22" s="87">
        <f t="shared" si="5"/>
        <v>7500</v>
      </c>
      <c r="F22" s="140">
        <f t="shared" si="5"/>
        <v>10000</v>
      </c>
      <c r="G22" s="155">
        <f t="shared" si="5"/>
        <v>40000</v>
      </c>
      <c r="H22" s="155">
        <f t="shared" si="5"/>
        <v>40500</v>
      </c>
      <c r="I22" s="155">
        <f t="shared" si="5"/>
        <v>1100</v>
      </c>
      <c r="J22" s="155">
        <f t="shared" si="5"/>
        <v>0</v>
      </c>
      <c r="K22" s="120"/>
    </row>
    <row r="23" spans="1:11" s="17" customFormat="1" ht="15" customHeight="1">
      <c r="A23" s="77">
        <v>8</v>
      </c>
      <c r="B23" s="5" t="s">
        <v>8</v>
      </c>
      <c r="C23" s="153">
        <f aca="true" t="shared" si="6" ref="C23:J23">SUM(C42+C372)</f>
        <v>12802.1</v>
      </c>
      <c r="D23" s="87">
        <f t="shared" si="6"/>
        <v>12802.1</v>
      </c>
      <c r="E23" s="87">
        <f t="shared" si="6"/>
        <v>0</v>
      </c>
      <c r="F23" s="140">
        <f t="shared" si="6"/>
        <v>0</v>
      </c>
      <c r="G23" s="155">
        <f t="shared" si="6"/>
        <v>0</v>
      </c>
      <c r="H23" s="155">
        <f t="shared" si="6"/>
        <v>0</v>
      </c>
      <c r="I23" s="155">
        <f t="shared" si="6"/>
        <v>0</v>
      </c>
      <c r="J23" s="155">
        <f t="shared" si="6"/>
        <v>0</v>
      </c>
      <c r="K23" s="120"/>
    </row>
    <row r="24" spans="1:11" s="17" customFormat="1" ht="15" customHeight="1">
      <c r="A24" s="77">
        <v>9</v>
      </c>
      <c r="B24" s="5" t="s">
        <v>9</v>
      </c>
      <c r="C24" s="153">
        <f aca="true" t="shared" si="7" ref="C24:J24">SUM(C43+C306+C373)</f>
        <v>35309.2</v>
      </c>
      <c r="D24" s="87">
        <f t="shared" si="7"/>
        <v>35309.2</v>
      </c>
      <c r="E24" s="87">
        <f t="shared" si="7"/>
        <v>0</v>
      </c>
      <c r="F24" s="140">
        <f t="shared" si="7"/>
        <v>0</v>
      </c>
      <c r="G24" s="155">
        <f t="shared" si="7"/>
        <v>0</v>
      </c>
      <c r="H24" s="155">
        <f t="shared" si="7"/>
        <v>0</v>
      </c>
      <c r="I24" s="155">
        <f t="shared" si="7"/>
        <v>0</v>
      </c>
      <c r="J24" s="155">
        <f t="shared" si="7"/>
        <v>0</v>
      </c>
      <c r="K24" s="120"/>
    </row>
    <row r="25" spans="1:11" s="17" customFormat="1" ht="15" customHeight="1">
      <c r="A25" s="77">
        <v>10</v>
      </c>
      <c r="B25" s="5" t="s">
        <v>10</v>
      </c>
      <c r="C25" s="153">
        <f>SUM(D25:J25)</f>
        <v>0</v>
      </c>
      <c r="D25" s="87">
        <f>SUM(D44)</f>
        <v>0</v>
      </c>
      <c r="E25" s="87">
        <f aca="true" t="shared" si="8" ref="E25:J25">SUM(E44)</f>
        <v>0</v>
      </c>
      <c r="F25" s="140">
        <f t="shared" si="8"/>
        <v>0</v>
      </c>
      <c r="G25" s="155">
        <f t="shared" si="8"/>
        <v>0</v>
      </c>
      <c r="H25" s="155">
        <f t="shared" si="8"/>
        <v>0</v>
      </c>
      <c r="I25" s="155">
        <f t="shared" si="8"/>
        <v>0</v>
      </c>
      <c r="J25" s="155">
        <f t="shared" si="8"/>
        <v>0</v>
      </c>
      <c r="K25" s="120"/>
    </row>
    <row r="26" spans="1:11" s="17" customFormat="1" ht="15" customHeight="1">
      <c r="A26" s="77"/>
      <c r="B26" s="5"/>
      <c r="C26" s="167"/>
      <c r="D26" s="110"/>
      <c r="E26" s="110"/>
      <c r="F26" s="141"/>
      <c r="G26" s="196"/>
      <c r="H26" s="196"/>
      <c r="I26" s="196"/>
      <c r="J26" s="196"/>
      <c r="K26" s="49"/>
    </row>
    <row r="27" spans="1:11" s="18" customFormat="1" ht="30" customHeight="1">
      <c r="A27" s="124">
        <v>11</v>
      </c>
      <c r="B27" s="29" t="s">
        <v>71</v>
      </c>
      <c r="C27" s="154">
        <f>SUM(C28:C31)</f>
        <v>4804404.02419</v>
      </c>
      <c r="D27" s="111">
        <f aca="true" t="shared" si="9" ref="D27:J27">SUM(D28:D31)</f>
        <v>653093.2829999999</v>
      </c>
      <c r="E27" s="111">
        <f t="shared" si="9"/>
        <v>706136.937</v>
      </c>
      <c r="F27" s="142">
        <f t="shared" si="9"/>
        <v>694438.8596000001</v>
      </c>
      <c r="G27" s="154">
        <f t="shared" si="9"/>
        <v>685585.34459</v>
      </c>
      <c r="H27" s="154">
        <f t="shared" si="9"/>
        <v>675745.5</v>
      </c>
      <c r="I27" s="154">
        <f t="shared" si="9"/>
        <v>685487.8</v>
      </c>
      <c r="J27" s="154">
        <f t="shared" si="9"/>
        <v>703916.3</v>
      </c>
      <c r="K27" s="48"/>
    </row>
    <row r="28" spans="1:11" s="17" customFormat="1" ht="15" customHeight="1">
      <c r="A28" s="77">
        <v>12</v>
      </c>
      <c r="B28" s="5" t="s">
        <v>7</v>
      </c>
      <c r="C28" s="153">
        <f>SUM(D28:J28)</f>
        <v>1869219.91719</v>
      </c>
      <c r="D28" s="87">
        <f aca="true" t="shared" si="10" ref="D28:J28">SUM(D72+D184+D319+D344+D389+D432)</f>
        <v>309500.608</v>
      </c>
      <c r="E28" s="87">
        <f t="shared" si="10"/>
        <v>315785.155</v>
      </c>
      <c r="F28" s="140">
        <f t="shared" si="10"/>
        <v>227126.25960000002</v>
      </c>
      <c r="G28" s="155">
        <f t="shared" si="10"/>
        <v>232805.89458999998</v>
      </c>
      <c r="H28" s="155">
        <f t="shared" si="10"/>
        <v>255907</v>
      </c>
      <c r="I28" s="155">
        <f t="shared" si="10"/>
        <v>261020.90000000002</v>
      </c>
      <c r="J28" s="155">
        <f t="shared" si="10"/>
        <v>267074.1</v>
      </c>
      <c r="K28" s="120"/>
    </row>
    <row r="29" spans="1:11" s="17" customFormat="1" ht="15" customHeight="1">
      <c r="A29" s="77">
        <v>13</v>
      </c>
      <c r="B29" s="5" t="s">
        <v>8</v>
      </c>
      <c r="C29" s="153">
        <f>SUM(D29:J29)</f>
        <v>7508.806</v>
      </c>
      <c r="D29" s="87">
        <f aca="true" t="shared" si="11" ref="D29:J29">SUM(D73+D185+D345+D433)</f>
        <v>1155.675</v>
      </c>
      <c r="E29" s="87">
        <f t="shared" si="11"/>
        <v>2441.431</v>
      </c>
      <c r="F29" s="140">
        <f t="shared" si="11"/>
        <v>3911.7</v>
      </c>
      <c r="G29" s="155">
        <f t="shared" si="11"/>
        <v>0</v>
      </c>
      <c r="H29" s="155">
        <f t="shared" si="11"/>
        <v>0</v>
      </c>
      <c r="I29" s="155">
        <f t="shared" si="11"/>
        <v>0</v>
      </c>
      <c r="J29" s="155">
        <f t="shared" si="11"/>
        <v>0</v>
      </c>
      <c r="K29" s="120"/>
    </row>
    <row r="30" spans="1:11" s="17" customFormat="1" ht="15" customHeight="1">
      <c r="A30" s="77">
        <v>14</v>
      </c>
      <c r="B30" s="5" t="s">
        <v>9</v>
      </c>
      <c r="C30" s="153">
        <f>SUM(D30:J30)</f>
        <v>2635977.901</v>
      </c>
      <c r="D30" s="87">
        <f aca="true" t="shared" si="12" ref="D30:J30">SUM(D74+D186+D301+D346+D437)</f>
        <v>307239.6</v>
      </c>
      <c r="E30" s="87">
        <f t="shared" si="12"/>
        <v>349910.351</v>
      </c>
      <c r="F30" s="140">
        <f t="shared" si="12"/>
        <v>421700.9</v>
      </c>
      <c r="G30" s="155">
        <f t="shared" si="12"/>
        <v>408579.45</v>
      </c>
      <c r="H30" s="155">
        <f t="shared" si="12"/>
        <v>375638.5</v>
      </c>
      <c r="I30" s="155">
        <f t="shared" si="12"/>
        <v>380266.9</v>
      </c>
      <c r="J30" s="155">
        <f t="shared" si="12"/>
        <v>392642.2</v>
      </c>
      <c r="K30" s="120"/>
    </row>
    <row r="31" spans="1:11" s="17" customFormat="1" ht="15" customHeight="1">
      <c r="A31" s="77">
        <v>15</v>
      </c>
      <c r="B31" s="5" t="s">
        <v>10</v>
      </c>
      <c r="C31" s="153">
        <f>SUM(D31:J31)</f>
        <v>291697.4</v>
      </c>
      <c r="D31" s="87">
        <f aca="true" t="shared" si="13" ref="D31:J31">SUM(D75+D187)</f>
        <v>35197.4</v>
      </c>
      <c r="E31" s="87">
        <f t="shared" si="13"/>
        <v>38000</v>
      </c>
      <c r="F31" s="140">
        <f t="shared" si="13"/>
        <v>41700</v>
      </c>
      <c r="G31" s="155">
        <f t="shared" si="13"/>
        <v>44200</v>
      </c>
      <c r="H31" s="155">
        <f t="shared" si="13"/>
        <v>44200</v>
      </c>
      <c r="I31" s="155">
        <f t="shared" si="13"/>
        <v>44200</v>
      </c>
      <c r="J31" s="155">
        <f t="shared" si="13"/>
        <v>44200</v>
      </c>
      <c r="K31" s="120"/>
    </row>
    <row r="32" spans="1:11" s="17" customFormat="1" ht="15" customHeight="1">
      <c r="A32" s="77"/>
      <c r="B32" s="16"/>
      <c r="C32" s="163"/>
      <c r="D32" s="112"/>
      <c r="E32" s="112"/>
      <c r="F32" s="132"/>
      <c r="G32" s="197"/>
      <c r="H32" s="197"/>
      <c r="I32" s="197"/>
      <c r="J32" s="197"/>
      <c r="K32" s="49"/>
    </row>
    <row r="33" spans="1:11" s="6" customFormat="1" ht="15" customHeight="1">
      <c r="A33" s="125"/>
      <c r="B33" s="380" t="s">
        <v>0</v>
      </c>
      <c r="C33" s="381"/>
      <c r="D33" s="381"/>
      <c r="E33" s="381"/>
      <c r="F33" s="381"/>
      <c r="G33" s="381"/>
      <c r="H33" s="381"/>
      <c r="I33" s="381"/>
      <c r="J33" s="381"/>
      <c r="K33" s="382"/>
    </row>
    <row r="34" spans="1:11" s="24" customFormat="1" ht="33" customHeight="1">
      <c r="A34" s="76">
        <v>16</v>
      </c>
      <c r="B34" s="26" t="s">
        <v>14</v>
      </c>
      <c r="C34" s="156">
        <f>SUM(C35:C38)</f>
        <v>2028950.591</v>
      </c>
      <c r="D34" s="86">
        <f>SUM(D35:D38)</f>
        <v>286746.642</v>
      </c>
      <c r="E34" s="86">
        <f aca="true" t="shared" si="14" ref="E34:J34">SUM(E35:E38)</f>
        <v>313283.712</v>
      </c>
      <c r="F34" s="143">
        <f t="shared" si="14"/>
        <v>268895.537</v>
      </c>
      <c r="G34" s="153">
        <f t="shared" si="14"/>
        <v>279783.7</v>
      </c>
      <c r="H34" s="153">
        <f t="shared" si="14"/>
        <v>287243</v>
      </c>
      <c r="I34" s="153">
        <f t="shared" si="14"/>
        <v>288796</v>
      </c>
      <c r="J34" s="153">
        <f t="shared" si="14"/>
        <v>304202</v>
      </c>
      <c r="K34" s="50"/>
    </row>
    <row r="35" spans="1:11" s="7" customFormat="1" ht="15" customHeight="1">
      <c r="A35" s="76">
        <v>17</v>
      </c>
      <c r="B35" s="9" t="s">
        <v>7</v>
      </c>
      <c r="C35" s="156">
        <f>SUM(D35:J35)</f>
        <v>720613.491</v>
      </c>
      <c r="D35" s="87">
        <f aca="true" t="shared" si="15" ref="D35:J35">SUM(D41+D72)</f>
        <v>108807.342</v>
      </c>
      <c r="E35" s="87">
        <f t="shared" si="15"/>
        <v>144100.712</v>
      </c>
      <c r="F35" s="140">
        <f t="shared" si="15"/>
        <v>79206.73700000001</v>
      </c>
      <c r="G35" s="155">
        <f t="shared" si="15"/>
        <v>91947.7</v>
      </c>
      <c r="H35" s="155">
        <f t="shared" si="15"/>
        <v>96151</v>
      </c>
      <c r="I35" s="155">
        <f t="shared" si="15"/>
        <v>95400</v>
      </c>
      <c r="J35" s="155">
        <f t="shared" si="15"/>
        <v>105000</v>
      </c>
      <c r="K35" s="51"/>
    </row>
    <row r="36" spans="1:11" s="7" customFormat="1" ht="15" customHeight="1">
      <c r="A36" s="76">
        <v>18</v>
      </c>
      <c r="B36" s="9" t="s">
        <v>8</v>
      </c>
      <c r="C36" s="156">
        <f>SUM(D36:J36)</f>
        <v>12802.1</v>
      </c>
      <c r="D36" s="83">
        <f>SUM(D42)</f>
        <v>12802.1</v>
      </c>
      <c r="E36" s="87">
        <f aca="true" t="shared" si="16" ref="E36:J36">SUM(E42)</f>
        <v>0</v>
      </c>
      <c r="F36" s="140">
        <f t="shared" si="16"/>
        <v>0</v>
      </c>
      <c r="G36" s="155">
        <f t="shared" si="16"/>
        <v>0</v>
      </c>
      <c r="H36" s="155">
        <f t="shared" si="16"/>
        <v>0</v>
      </c>
      <c r="I36" s="155">
        <f t="shared" si="16"/>
        <v>0</v>
      </c>
      <c r="J36" s="155">
        <f t="shared" si="16"/>
        <v>0</v>
      </c>
      <c r="K36" s="51"/>
    </row>
    <row r="37" spans="1:11" s="7" customFormat="1" ht="15" customHeight="1">
      <c r="A37" s="76">
        <v>19</v>
      </c>
      <c r="B37" s="9" t="s">
        <v>9</v>
      </c>
      <c r="C37" s="156">
        <f>SUM(D37:J37)</f>
        <v>1022535</v>
      </c>
      <c r="D37" s="87">
        <f aca="true" t="shared" si="17" ref="D37:J37">SUM(D43+D74)</f>
        <v>134137.2</v>
      </c>
      <c r="E37" s="87">
        <f t="shared" si="17"/>
        <v>131183</v>
      </c>
      <c r="F37" s="140">
        <f t="shared" si="17"/>
        <v>149688.8</v>
      </c>
      <c r="G37" s="155">
        <f t="shared" si="17"/>
        <v>146836</v>
      </c>
      <c r="H37" s="155">
        <f t="shared" si="17"/>
        <v>150092</v>
      </c>
      <c r="I37" s="155">
        <f t="shared" si="17"/>
        <v>152396</v>
      </c>
      <c r="J37" s="155">
        <f t="shared" si="17"/>
        <v>158202</v>
      </c>
      <c r="K37" s="51"/>
    </row>
    <row r="38" spans="1:11" s="7" customFormat="1" ht="15" customHeight="1">
      <c r="A38" s="76">
        <v>20</v>
      </c>
      <c r="B38" s="9" t="s">
        <v>10</v>
      </c>
      <c r="C38" s="156">
        <f>SUM(D38:J38)</f>
        <v>273000</v>
      </c>
      <c r="D38" s="87">
        <f>SUM(D75)</f>
        <v>31000</v>
      </c>
      <c r="E38" s="87">
        <f aca="true" t="shared" si="18" ref="E38:J38">SUM(E75)</f>
        <v>38000</v>
      </c>
      <c r="F38" s="140">
        <f t="shared" si="18"/>
        <v>40000</v>
      </c>
      <c r="G38" s="155">
        <f t="shared" si="18"/>
        <v>41000</v>
      </c>
      <c r="H38" s="155">
        <f t="shared" si="18"/>
        <v>41000</v>
      </c>
      <c r="I38" s="155">
        <f t="shared" si="18"/>
        <v>41000</v>
      </c>
      <c r="J38" s="155">
        <f t="shared" si="18"/>
        <v>41000</v>
      </c>
      <c r="K38" s="51"/>
    </row>
    <row r="39" spans="1:11" s="7" customFormat="1" ht="15" customHeight="1">
      <c r="A39" s="126"/>
      <c r="B39" s="389" t="s">
        <v>11</v>
      </c>
      <c r="C39" s="390"/>
      <c r="D39" s="390"/>
      <c r="E39" s="390"/>
      <c r="F39" s="390"/>
      <c r="G39" s="390"/>
      <c r="H39" s="390"/>
      <c r="I39" s="390"/>
      <c r="J39" s="390"/>
      <c r="K39" s="391"/>
    </row>
    <row r="40" spans="1:11" s="24" customFormat="1" ht="31.5" customHeight="1">
      <c r="A40" s="76">
        <v>21</v>
      </c>
      <c r="B40" s="26" t="s">
        <v>98</v>
      </c>
      <c r="C40" s="156">
        <f>SUM(D40:J40)</f>
        <v>57099.123</v>
      </c>
      <c r="D40" s="86">
        <f>SUM(D41:D44)</f>
        <v>49099.123</v>
      </c>
      <c r="E40" s="86">
        <f aca="true" t="shared" si="19" ref="E40:J40">SUM(E41:E44)</f>
        <v>0</v>
      </c>
      <c r="F40" s="143">
        <f t="shared" si="19"/>
        <v>0</v>
      </c>
      <c r="G40" s="153">
        <f t="shared" si="19"/>
        <v>8000</v>
      </c>
      <c r="H40" s="153">
        <f t="shared" si="19"/>
        <v>0</v>
      </c>
      <c r="I40" s="153">
        <f t="shared" si="19"/>
        <v>0</v>
      </c>
      <c r="J40" s="153">
        <f t="shared" si="19"/>
        <v>0</v>
      </c>
      <c r="K40" s="52"/>
    </row>
    <row r="41" spans="1:11" s="7" customFormat="1" ht="15" customHeight="1">
      <c r="A41" s="76">
        <v>22</v>
      </c>
      <c r="B41" s="9" t="s">
        <v>7</v>
      </c>
      <c r="C41" s="156">
        <f>SUM(D41:J41)</f>
        <v>9737.823</v>
      </c>
      <c r="D41" s="87">
        <f aca="true" t="shared" si="20" ref="D41:J41">SUM(D47+D65)</f>
        <v>1737.823</v>
      </c>
      <c r="E41" s="87">
        <f t="shared" si="20"/>
        <v>0</v>
      </c>
      <c r="F41" s="140">
        <f t="shared" si="20"/>
        <v>0</v>
      </c>
      <c r="G41" s="155">
        <f t="shared" si="20"/>
        <v>8000</v>
      </c>
      <c r="H41" s="155">
        <f t="shared" si="20"/>
        <v>0</v>
      </c>
      <c r="I41" s="155">
        <f t="shared" si="20"/>
        <v>0</v>
      </c>
      <c r="J41" s="155">
        <f t="shared" si="20"/>
        <v>0</v>
      </c>
      <c r="K41" s="51"/>
    </row>
    <row r="42" spans="1:11" s="7" customFormat="1" ht="15" customHeight="1">
      <c r="A42" s="76">
        <v>23</v>
      </c>
      <c r="B42" s="9" t="s">
        <v>8</v>
      </c>
      <c r="C42" s="156">
        <f>SUM(D42:J42)</f>
        <v>12802.1</v>
      </c>
      <c r="D42" s="83">
        <f>SUM(D48)</f>
        <v>12802.1</v>
      </c>
      <c r="E42" s="87">
        <f aca="true" t="shared" si="21" ref="E42:J42">SUM(E48)</f>
        <v>0</v>
      </c>
      <c r="F42" s="140">
        <f t="shared" si="21"/>
        <v>0</v>
      </c>
      <c r="G42" s="155">
        <f t="shared" si="21"/>
        <v>0</v>
      </c>
      <c r="H42" s="155">
        <f t="shared" si="21"/>
        <v>0</v>
      </c>
      <c r="I42" s="155">
        <f t="shared" si="21"/>
        <v>0</v>
      </c>
      <c r="J42" s="155">
        <f t="shared" si="21"/>
        <v>0</v>
      </c>
      <c r="K42" s="51"/>
    </row>
    <row r="43" spans="1:11" s="7" customFormat="1" ht="15" customHeight="1">
      <c r="A43" s="76">
        <v>24</v>
      </c>
      <c r="B43" s="9" t="s">
        <v>9</v>
      </c>
      <c r="C43" s="156">
        <f>SUM(D43:J43)</f>
        <v>34559.2</v>
      </c>
      <c r="D43" s="87">
        <f aca="true" t="shared" si="22" ref="D43:J43">SUM(D49+D67)</f>
        <v>34559.2</v>
      </c>
      <c r="E43" s="87">
        <f t="shared" si="22"/>
        <v>0</v>
      </c>
      <c r="F43" s="140">
        <f t="shared" si="22"/>
        <v>0</v>
      </c>
      <c r="G43" s="155">
        <f t="shared" si="22"/>
        <v>0</v>
      </c>
      <c r="H43" s="155">
        <f t="shared" si="22"/>
        <v>0</v>
      </c>
      <c r="I43" s="155">
        <f t="shared" si="22"/>
        <v>0</v>
      </c>
      <c r="J43" s="155">
        <f t="shared" si="22"/>
        <v>0</v>
      </c>
      <c r="K43" s="51"/>
    </row>
    <row r="44" spans="1:11" s="7" customFormat="1" ht="15" customHeight="1">
      <c r="A44" s="76">
        <v>25</v>
      </c>
      <c r="B44" s="9" t="s">
        <v>10</v>
      </c>
      <c r="C44" s="156">
        <f>SUM(D44:J44)</f>
        <v>0</v>
      </c>
      <c r="D44" s="87"/>
      <c r="E44" s="87"/>
      <c r="F44" s="83"/>
      <c r="G44" s="155"/>
      <c r="H44" s="155"/>
      <c r="I44" s="155"/>
      <c r="J44" s="155"/>
      <c r="K44" s="51"/>
    </row>
    <row r="45" spans="1:11" s="7" customFormat="1" ht="15" customHeight="1">
      <c r="A45" s="127"/>
      <c r="B45" s="386" t="s">
        <v>12</v>
      </c>
      <c r="C45" s="387"/>
      <c r="D45" s="387"/>
      <c r="E45" s="387"/>
      <c r="F45" s="387"/>
      <c r="G45" s="387"/>
      <c r="H45" s="387"/>
      <c r="I45" s="387"/>
      <c r="J45" s="387"/>
      <c r="K45" s="388"/>
    </row>
    <row r="46" spans="1:11" s="24" customFormat="1" ht="45.75" customHeight="1">
      <c r="A46" s="76">
        <v>26</v>
      </c>
      <c r="B46" s="26" t="s">
        <v>99</v>
      </c>
      <c r="C46" s="156">
        <f>SUM(C47:C50)</f>
        <v>57099.123</v>
      </c>
      <c r="D46" s="70">
        <f aca="true" t="shared" si="23" ref="D46:J46">SUM(D47:D50)</f>
        <v>49099.123</v>
      </c>
      <c r="E46" s="70">
        <f t="shared" si="23"/>
        <v>0</v>
      </c>
      <c r="F46" s="144">
        <f t="shared" si="23"/>
        <v>0</v>
      </c>
      <c r="G46" s="156">
        <f t="shared" si="23"/>
        <v>8000</v>
      </c>
      <c r="H46" s="156">
        <f t="shared" si="23"/>
        <v>0</v>
      </c>
      <c r="I46" s="156">
        <f t="shared" si="23"/>
        <v>0</v>
      </c>
      <c r="J46" s="156">
        <f t="shared" si="23"/>
        <v>0</v>
      </c>
      <c r="K46" s="51"/>
    </row>
    <row r="47" spans="1:11" s="7" customFormat="1" ht="15" customHeight="1">
      <c r="A47" s="76">
        <v>27</v>
      </c>
      <c r="B47" s="9" t="s">
        <v>7</v>
      </c>
      <c r="C47" s="156">
        <f>SUM(D47:J47)</f>
        <v>9737.823</v>
      </c>
      <c r="D47" s="113">
        <f>SUM(D53+D59)</f>
        <v>1737.823</v>
      </c>
      <c r="E47" s="113">
        <f>SUM(E53+E59)</f>
        <v>0</v>
      </c>
      <c r="F47" s="145"/>
      <c r="G47" s="150">
        <f>SUM(G53+G59)</f>
        <v>8000</v>
      </c>
      <c r="H47" s="150"/>
      <c r="I47" s="150"/>
      <c r="J47" s="150"/>
      <c r="K47" s="51"/>
    </row>
    <row r="48" spans="1:11" s="7" customFormat="1" ht="15" customHeight="1">
      <c r="A48" s="76">
        <v>28</v>
      </c>
      <c r="B48" s="9" t="s">
        <v>8</v>
      </c>
      <c r="C48" s="156">
        <f>SUM(D48:J48)</f>
        <v>12802.1</v>
      </c>
      <c r="D48" s="113">
        <f>SUM(D54)</f>
        <v>12802.1</v>
      </c>
      <c r="E48" s="113">
        <f>SUM(E54)</f>
        <v>0</v>
      </c>
      <c r="F48" s="145"/>
      <c r="G48" s="150"/>
      <c r="H48" s="150"/>
      <c r="I48" s="150"/>
      <c r="J48" s="150"/>
      <c r="K48" s="51"/>
    </row>
    <row r="49" spans="1:11" s="7" customFormat="1" ht="15" customHeight="1">
      <c r="A49" s="76">
        <v>29</v>
      </c>
      <c r="B49" s="9" t="s">
        <v>9</v>
      </c>
      <c r="C49" s="156">
        <f>SUM(D49:J49)</f>
        <v>34559.2</v>
      </c>
      <c r="D49" s="113">
        <f>SUM(D55)</f>
        <v>34559.2</v>
      </c>
      <c r="E49" s="113">
        <f>SUM(E55)</f>
        <v>0</v>
      </c>
      <c r="F49" s="145"/>
      <c r="G49" s="150"/>
      <c r="H49" s="150"/>
      <c r="I49" s="150"/>
      <c r="J49" s="150"/>
      <c r="K49" s="51"/>
    </row>
    <row r="50" spans="1:11" s="7" customFormat="1" ht="15" customHeight="1">
      <c r="A50" s="76">
        <v>30</v>
      </c>
      <c r="B50" s="9" t="s">
        <v>10</v>
      </c>
      <c r="C50" s="156">
        <f>SUM(D50:J50)</f>
        <v>0</v>
      </c>
      <c r="D50" s="83">
        <v>0</v>
      </c>
      <c r="E50" s="87">
        <v>0</v>
      </c>
      <c r="F50" s="140"/>
      <c r="G50" s="155"/>
      <c r="H50" s="155"/>
      <c r="I50" s="155"/>
      <c r="J50" s="155"/>
      <c r="K50" s="51"/>
    </row>
    <row r="51" spans="1:11" s="7" customFormat="1" ht="15" customHeight="1">
      <c r="A51" s="76"/>
      <c r="B51" s="9"/>
      <c r="C51" s="156"/>
      <c r="D51" s="118"/>
      <c r="E51" s="113"/>
      <c r="F51" s="145"/>
      <c r="G51" s="150"/>
      <c r="H51" s="150"/>
      <c r="I51" s="150"/>
      <c r="J51" s="150"/>
      <c r="K51" s="51"/>
    </row>
    <row r="52" spans="1:11" s="7" customFormat="1" ht="50.25" customHeight="1">
      <c r="A52" s="76">
        <v>31</v>
      </c>
      <c r="B52" s="26" t="s">
        <v>103</v>
      </c>
      <c r="C52" s="156">
        <f>SUM(C53:C56)</f>
        <v>49099.123</v>
      </c>
      <c r="D52" s="70">
        <f aca="true" t="shared" si="24" ref="D52:J52">SUM(D53:D56)</f>
        <v>49099.123</v>
      </c>
      <c r="E52" s="70">
        <f t="shared" si="24"/>
        <v>0</v>
      </c>
      <c r="F52" s="144">
        <f t="shared" si="24"/>
        <v>0</v>
      </c>
      <c r="G52" s="156">
        <f t="shared" si="24"/>
        <v>0</v>
      </c>
      <c r="H52" s="156">
        <f t="shared" si="24"/>
        <v>0</v>
      </c>
      <c r="I52" s="156">
        <f t="shared" si="24"/>
        <v>0</v>
      </c>
      <c r="J52" s="156">
        <f t="shared" si="24"/>
        <v>0</v>
      </c>
      <c r="K52" s="51" t="s">
        <v>180</v>
      </c>
    </row>
    <row r="53" spans="1:11" s="7" customFormat="1" ht="15" customHeight="1">
      <c r="A53" s="76">
        <v>32</v>
      </c>
      <c r="B53" s="9" t="s">
        <v>7</v>
      </c>
      <c r="C53" s="156">
        <f>SUM(D53:J53)</f>
        <v>1737.823</v>
      </c>
      <c r="D53" s="83">
        <v>1737.823</v>
      </c>
      <c r="E53" s="87"/>
      <c r="F53" s="140"/>
      <c r="G53" s="155"/>
      <c r="H53" s="155"/>
      <c r="I53" s="155"/>
      <c r="J53" s="155"/>
      <c r="K53" s="51"/>
    </row>
    <row r="54" spans="1:11" s="7" customFormat="1" ht="15" customHeight="1">
      <c r="A54" s="76">
        <v>33</v>
      </c>
      <c r="B54" s="9" t="s">
        <v>8</v>
      </c>
      <c r="C54" s="156">
        <f>SUM(D54:J54)</f>
        <v>12802.1</v>
      </c>
      <c r="D54" s="83">
        <v>12802.1</v>
      </c>
      <c r="E54" s="87"/>
      <c r="F54" s="140"/>
      <c r="G54" s="155"/>
      <c r="H54" s="155"/>
      <c r="I54" s="155"/>
      <c r="J54" s="155"/>
      <c r="K54" s="51"/>
    </row>
    <row r="55" spans="1:11" s="7" customFormat="1" ht="15" customHeight="1">
      <c r="A55" s="76">
        <v>34</v>
      </c>
      <c r="B55" s="9" t="s">
        <v>9</v>
      </c>
      <c r="C55" s="156">
        <f>SUM(D55:J55)</f>
        <v>34559.2</v>
      </c>
      <c r="D55" s="83">
        <v>34559.2</v>
      </c>
      <c r="E55" s="87"/>
      <c r="F55" s="140"/>
      <c r="G55" s="155"/>
      <c r="H55" s="155"/>
      <c r="I55" s="155"/>
      <c r="J55" s="155"/>
      <c r="K55" s="51"/>
    </row>
    <row r="56" spans="1:11" s="7" customFormat="1" ht="15" customHeight="1">
      <c r="A56" s="76">
        <v>35</v>
      </c>
      <c r="B56" s="9" t="s">
        <v>10</v>
      </c>
      <c r="C56" s="156">
        <f>SUM(D56:J56)</f>
        <v>0</v>
      </c>
      <c r="D56" s="83">
        <v>0</v>
      </c>
      <c r="E56" s="87"/>
      <c r="F56" s="140"/>
      <c r="G56" s="155"/>
      <c r="H56" s="155"/>
      <c r="I56" s="155"/>
      <c r="J56" s="155"/>
      <c r="K56" s="51"/>
    </row>
    <row r="57" spans="1:11" s="7" customFormat="1" ht="15" customHeight="1">
      <c r="A57" s="76"/>
      <c r="B57" s="9"/>
      <c r="C57" s="156"/>
      <c r="D57" s="83"/>
      <c r="E57" s="113"/>
      <c r="F57" s="145"/>
      <c r="G57" s="150"/>
      <c r="H57" s="150"/>
      <c r="I57" s="150"/>
      <c r="J57" s="150"/>
      <c r="K57" s="51"/>
    </row>
    <row r="58" spans="1:11" s="7" customFormat="1" ht="50.25" customHeight="1">
      <c r="A58" s="76" t="s">
        <v>216</v>
      </c>
      <c r="B58" s="26" t="s">
        <v>217</v>
      </c>
      <c r="C58" s="156">
        <f>SUM(C59)</f>
        <v>8000</v>
      </c>
      <c r="D58" s="156">
        <f aca="true" t="shared" si="25" ref="D58:J58">SUM(D59)</f>
        <v>0</v>
      </c>
      <c r="E58" s="156">
        <f t="shared" si="25"/>
        <v>0</v>
      </c>
      <c r="F58" s="156">
        <f t="shared" si="25"/>
        <v>0</v>
      </c>
      <c r="G58" s="156">
        <f t="shared" si="25"/>
        <v>8000</v>
      </c>
      <c r="H58" s="156">
        <f t="shared" si="25"/>
        <v>0</v>
      </c>
      <c r="I58" s="156">
        <f t="shared" si="25"/>
        <v>0</v>
      </c>
      <c r="J58" s="156">
        <f t="shared" si="25"/>
        <v>0</v>
      </c>
      <c r="K58" s="51" t="s">
        <v>476</v>
      </c>
    </row>
    <row r="59" spans="1:11" s="7" customFormat="1" ht="15" customHeight="1">
      <c r="A59" s="76" t="s">
        <v>218</v>
      </c>
      <c r="B59" s="9" t="s">
        <v>7</v>
      </c>
      <c r="C59" s="156">
        <f>SUM(D59:J59)</f>
        <v>8000</v>
      </c>
      <c r="D59" s="83">
        <f>SUM(D61)</f>
        <v>0</v>
      </c>
      <c r="E59" s="83">
        <f aca="true" t="shared" si="26" ref="E59:J59">SUM(E61)</f>
        <v>0</v>
      </c>
      <c r="F59" s="140">
        <f t="shared" si="26"/>
        <v>0</v>
      </c>
      <c r="G59" s="140">
        <f t="shared" si="26"/>
        <v>8000</v>
      </c>
      <c r="H59" s="140">
        <f t="shared" si="26"/>
        <v>0</v>
      </c>
      <c r="I59" s="140">
        <f t="shared" si="26"/>
        <v>0</v>
      </c>
      <c r="J59" s="140">
        <f t="shared" si="26"/>
        <v>0</v>
      </c>
      <c r="K59" s="51"/>
    </row>
    <row r="60" spans="1:11" s="7" customFormat="1" ht="15" customHeight="1">
      <c r="A60" s="76"/>
      <c r="B60" s="9" t="s">
        <v>19</v>
      </c>
      <c r="C60" s="156"/>
      <c r="D60" s="83"/>
      <c r="E60" s="113"/>
      <c r="F60" s="145"/>
      <c r="G60" s="150"/>
      <c r="H60" s="150"/>
      <c r="I60" s="150"/>
      <c r="J60" s="150"/>
      <c r="K60" s="51"/>
    </row>
    <row r="61" spans="1:11" s="7" customFormat="1" ht="15" customHeight="1">
      <c r="A61" s="76" t="s">
        <v>219</v>
      </c>
      <c r="B61" s="9" t="s">
        <v>220</v>
      </c>
      <c r="C61" s="156">
        <f>SUM(D61:J61)</f>
        <v>8000</v>
      </c>
      <c r="D61" s="83"/>
      <c r="E61" s="113"/>
      <c r="F61" s="145"/>
      <c r="G61" s="150">
        <v>8000</v>
      </c>
      <c r="H61" s="150"/>
      <c r="I61" s="150"/>
      <c r="J61" s="150"/>
      <c r="K61" s="51"/>
    </row>
    <row r="62" spans="1:11" s="7" customFormat="1" ht="15" customHeight="1">
      <c r="A62" s="76"/>
      <c r="B62" s="9"/>
      <c r="C62" s="156"/>
      <c r="D62" s="83"/>
      <c r="E62" s="113"/>
      <c r="F62" s="145"/>
      <c r="G62" s="150"/>
      <c r="H62" s="150"/>
      <c r="I62" s="150"/>
      <c r="J62" s="150"/>
      <c r="K62" s="51"/>
    </row>
    <row r="63" spans="1:11" s="7" customFormat="1" ht="15" customHeight="1">
      <c r="A63" s="127"/>
      <c r="B63" s="386" t="s">
        <v>23</v>
      </c>
      <c r="C63" s="387"/>
      <c r="D63" s="387"/>
      <c r="E63" s="387"/>
      <c r="F63" s="387"/>
      <c r="G63" s="387"/>
      <c r="H63" s="387"/>
      <c r="I63" s="387"/>
      <c r="J63" s="387"/>
      <c r="K63" s="388"/>
    </row>
    <row r="64" spans="1:11" s="25" customFormat="1" ht="31.5">
      <c r="A64" s="72" t="s">
        <v>234</v>
      </c>
      <c r="B64" s="27" t="s">
        <v>100</v>
      </c>
      <c r="C64" s="144">
        <f>SUM(C65:C68)</f>
        <v>0</v>
      </c>
      <c r="D64" s="85">
        <f aca="true" t="shared" si="27" ref="D64:J64">SUM(D66:D68)</f>
        <v>0</v>
      </c>
      <c r="E64" s="85">
        <f>SUM(E65:E68)</f>
        <v>0</v>
      </c>
      <c r="F64" s="143">
        <f>SUM(F65:F68)</f>
        <v>0</v>
      </c>
      <c r="G64" s="143">
        <f t="shared" si="27"/>
        <v>0</v>
      </c>
      <c r="H64" s="143">
        <f t="shared" si="27"/>
        <v>0</v>
      </c>
      <c r="I64" s="143">
        <f t="shared" si="27"/>
        <v>0</v>
      </c>
      <c r="J64" s="143">
        <f t="shared" si="27"/>
        <v>0</v>
      </c>
      <c r="K64" s="54"/>
    </row>
    <row r="65" spans="1:11" s="13" customFormat="1" ht="15" customHeight="1">
      <c r="A65" s="72" t="s">
        <v>235</v>
      </c>
      <c r="B65" s="9" t="s">
        <v>7</v>
      </c>
      <c r="C65" s="144">
        <f>SUM(D65:J65)</f>
        <v>0</v>
      </c>
      <c r="D65" s="91"/>
      <c r="E65" s="91"/>
      <c r="F65" s="146"/>
      <c r="G65" s="146"/>
      <c r="H65" s="146"/>
      <c r="I65" s="146"/>
      <c r="J65" s="146"/>
      <c r="K65" s="55"/>
    </row>
    <row r="66" spans="1:11" s="21" customFormat="1" ht="15" customHeight="1">
      <c r="A66" s="72" t="s">
        <v>236</v>
      </c>
      <c r="B66" s="9" t="s">
        <v>8</v>
      </c>
      <c r="C66" s="144">
        <f>SUM(D66:J66)</f>
        <v>0</v>
      </c>
      <c r="D66" s="68"/>
      <c r="E66" s="114"/>
      <c r="F66" s="147"/>
      <c r="G66" s="147"/>
      <c r="H66" s="147"/>
      <c r="I66" s="147"/>
      <c r="J66" s="147"/>
      <c r="K66" s="56"/>
    </row>
    <row r="67" spans="1:11" s="13" customFormat="1" ht="15" customHeight="1">
      <c r="A67" s="72" t="s">
        <v>237</v>
      </c>
      <c r="B67" s="9" t="s">
        <v>9</v>
      </c>
      <c r="C67" s="144">
        <f>SUM(D67:J67)</f>
        <v>0</v>
      </c>
      <c r="D67" s="91"/>
      <c r="E67" s="91"/>
      <c r="F67" s="146"/>
      <c r="G67" s="146"/>
      <c r="H67" s="146"/>
      <c r="I67" s="146"/>
      <c r="J67" s="146"/>
      <c r="K67" s="55"/>
    </row>
    <row r="68" spans="1:11" s="13" customFormat="1" ht="15" customHeight="1">
      <c r="A68" s="72" t="s">
        <v>238</v>
      </c>
      <c r="B68" s="9" t="s">
        <v>10</v>
      </c>
      <c r="C68" s="144">
        <f>SUM(D68:J68)</f>
        <v>0</v>
      </c>
      <c r="D68" s="91"/>
      <c r="E68" s="91"/>
      <c r="F68" s="146"/>
      <c r="G68" s="146"/>
      <c r="H68" s="146"/>
      <c r="I68" s="146"/>
      <c r="J68" s="146"/>
      <c r="K68" s="55"/>
    </row>
    <row r="69" spans="1:11" s="13" customFormat="1" ht="15" customHeight="1">
      <c r="A69" s="75"/>
      <c r="B69" s="9"/>
      <c r="C69" s="143"/>
      <c r="D69" s="91"/>
      <c r="E69" s="91"/>
      <c r="F69" s="146"/>
      <c r="G69" s="146"/>
      <c r="H69" s="146"/>
      <c r="I69" s="146"/>
      <c r="J69" s="146"/>
      <c r="K69" s="55"/>
    </row>
    <row r="70" spans="1:11" s="7" customFormat="1" ht="15" customHeight="1">
      <c r="A70" s="126"/>
      <c r="B70" s="389" t="s">
        <v>15</v>
      </c>
      <c r="C70" s="390"/>
      <c r="D70" s="390"/>
      <c r="E70" s="390"/>
      <c r="F70" s="390"/>
      <c r="G70" s="390"/>
      <c r="H70" s="390"/>
      <c r="I70" s="390"/>
      <c r="J70" s="390"/>
      <c r="K70" s="391"/>
    </row>
    <row r="71" spans="1:11" s="24" customFormat="1" ht="21.75" customHeight="1">
      <c r="A71" s="76" t="s">
        <v>239</v>
      </c>
      <c r="B71" s="26" t="s">
        <v>16</v>
      </c>
      <c r="C71" s="156">
        <f>SUM(C72:C75)</f>
        <v>1971851.468</v>
      </c>
      <c r="D71" s="90">
        <f aca="true" t="shared" si="28" ref="D71:J71">SUM(D72:D75)</f>
        <v>237647.519</v>
      </c>
      <c r="E71" s="90">
        <f t="shared" si="28"/>
        <v>313283.712</v>
      </c>
      <c r="F71" s="144">
        <f t="shared" si="28"/>
        <v>268895.537</v>
      </c>
      <c r="G71" s="156">
        <f t="shared" si="28"/>
        <v>271783.7</v>
      </c>
      <c r="H71" s="156">
        <f t="shared" si="28"/>
        <v>287243</v>
      </c>
      <c r="I71" s="156">
        <f t="shared" si="28"/>
        <v>288796</v>
      </c>
      <c r="J71" s="156">
        <f t="shared" si="28"/>
        <v>304202</v>
      </c>
      <c r="K71" s="50"/>
    </row>
    <row r="72" spans="1:11" s="7" customFormat="1" ht="15" customHeight="1">
      <c r="A72" s="76" t="s">
        <v>240</v>
      </c>
      <c r="B72" s="9" t="s">
        <v>7</v>
      </c>
      <c r="C72" s="156">
        <f>SUM(D72:J72)</f>
        <v>710875.6680000001</v>
      </c>
      <c r="D72" s="68">
        <f aca="true" t="shared" si="29" ref="D72:J72">SUM(D78+D89+D112+D117+D120+D138)</f>
        <v>107069.519</v>
      </c>
      <c r="E72" s="68">
        <f t="shared" si="29"/>
        <v>144100.712</v>
      </c>
      <c r="F72" s="148">
        <f t="shared" si="29"/>
        <v>79206.73700000001</v>
      </c>
      <c r="G72" s="148">
        <f t="shared" si="29"/>
        <v>83947.7</v>
      </c>
      <c r="H72" s="148">
        <f t="shared" si="29"/>
        <v>96151</v>
      </c>
      <c r="I72" s="148">
        <f t="shared" si="29"/>
        <v>95400</v>
      </c>
      <c r="J72" s="148">
        <f t="shared" si="29"/>
        <v>105000</v>
      </c>
      <c r="K72" s="51"/>
    </row>
    <row r="73" spans="1:11" s="7" customFormat="1" ht="15" customHeight="1">
      <c r="A73" s="76" t="s">
        <v>241</v>
      </c>
      <c r="B73" s="9" t="s">
        <v>8</v>
      </c>
      <c r="C73" s="156">
        <f>SUM(D73:J73)</f>
        <v>0</v>
      </c>
      <c r="D73" s="68"/>
      <c r="E73" s="68"/>
      <c r="F73" s="148"/>
      <c r="G73" s="159"/>
      <c r="H73" s="159"/>
      <c r="I73" s="159"/>
      <c r="J73" s="159"/>
      <c r="K73" s="51"/>
    </row>
    <row r="74" spans="1:11" s="7" customFormat="1" ht="15" customHeight="1">
      <c r="A74" s="76" t="s">
        <v>242</v>
      </c>
      <c r="B74" s="9" t="s">
        <v>9</v>
      </c>
      <c r="C74" s="156">
        <f>SUM(D74:J74)</f>
        <v>987975.8</v>
      </c>
      <c r="D74" s="69">
        <f aca="true" t="shared" si="30" ref="D74:J74">SUM(D90+D109+D113+D121)</f>
        <v>99578</v>
      </c>
      <c r="E74" s="69">
        <f t="shared" si="30"/>
        <v>131183</v>
      </c>
      <c r="F74" s="149">
        <f t="shared" si="30"/>
        <v>149688.8</v>
      </c>
      <c r="G74" s="157">
        <f t="shared" si="30"/>
        <v>146836</v>
      </c>
      <c r="H74" s="157">
        <f t="shared" si="30"/>
        <v>150092</v>
      </c>
      <c r="I74" s="157">
        <f t="shared" si="30"/>
        <v>152396</v>
      </c>
      <c r="J74" s="157">
        <f t="shared" si="30"/>
        <v>158202</v>
      </c>
      <c r="K74" s="57"/>
    </row>
    <row r="75" spans="1:11" s="7" customFormat="1" ht="15" customHeight="1">
      <c r="A75" s="76" t="s">
        <v>243</v>
      </c>
      <c r="B75" s="11" t="s">
        <v>10</v>
      </c>
      <c r="C75" s="156">
        <f>SUM(D75:J75)</f>
        <v>273000</v>
      </c>
      <c r="D75" s="68">
        <f>SUM(D114)</f>
        <v>31000</v>
      </c>
      <c r="E75" s="68">
        <f aca="true" t="shared" si="31" ref="E75:J75">SUM(E114)</f>
        <v>38000</v>
      </c>
      <c r="F75" s="148">
        <f t="shared" si="31"/>
        <v>40000</v>
      </c>
      <c r="G75" s="159">
        <f t="shared" si="31"/>
        <v>41000</v>
      </c>
      <c r="H75" s="159">
        <f t="shared" si="31"/>
        <v>41000</v>
      </c>
      <c r="I75" s="159">
        <f t="shared" si="31"/>
        <v>41000</v>
      </c>
      <c r="J75" s="159">
        <f t="shared" si="31"/>
        <v>41000</v>
      </c>
      <c r="K75" s="51"/>
    </row>
    <row r="76" spans="1:11" s="7" customFormat="1" ht="15" customHeight="1">
      <c r="A76" s="76"/>
      <c r="B76" s="11"/>
      <c r="C76" s="156"/>
      <c r="D76" s="69"/>
      <c r="E76" s="69"/>
      <c r="F76" s="149"/>
      <c r="G76" s="157"/>
      <c r="H76" s="157"/>
      <c r="I76" s="157"/>
      <c r="J76" s="157"/>
      <c r="K76" s="51"/>
    </row>
    <row r="77" spans="1:11" s="25" customFormat="1" ht="50.25" customHeight="1">
      <c r="A77" s="72" t="s">
        <v>244</v>
      </c>
      <c r="B77" s="27" t="s">
        <v>104</v>
      </c>
      <c r="C77" s="144">
        <f>SUM(C78)</f>
        <v>6750</v>
      </c>
      <c r="D77" s="90">
        <f>SUM(D78)</f>
        <v>0</v>
      </c>
      <c r="E77" s="90">
        <f aca="true" t="shared" si="32" ref="E77:J77">SUM(E78)</f>
        <v>250</v>
      </c>
      <c r="F77" s="144">
        <f t="shared" si="32"/>
        <v>0</v>
      </c>
      <c r="G77" s="144">
        <f t="shared" si="32"/>
        <v>0</v>
      </c>
      <c r="H77" s="144">
        <f t="shared" si="32"/>
        <v>6500</v>
      </c>
      <c r="I77" s="144">
        <f t="shared" si="32"/>
        <v>0</v>
      </c>
      <c r="J77" s="144">
        <f t="shared" si="32"/>
        <v>0</v>
      </c>
      <c r="K77" s="55" t="s">
        <v>181</v>
      </c>
    </row>
    <row r="78" spans="1:11" s="13" customFormat="1" ht="15" customHeight="1">
      <c r="A78" s="72" t="s">
        <v>245</v>
      </c>
      <c r="B78" s="19" t="s">
        <v>7</v>
      </c>
      <c r="C78" s="144">
        <f>SUM(C80:C86)</f>
        <v>6750</v>
      </c>
      <c r="D78" s="91">
        <f aca="true" t="shared" si="33" ref="D78:J78">SUM(D80:D86)</f>
        <v>0</v>
      </c>
      <c r="E78" s="91">
        <f t="shared" si="33"/>
        <v>250</v>
      </c>
      <c r="F78" s="146">
        <f t="shared" si="33"/>
        <v>0</v>
      </c>
      <c r="G78" s="146">
        <f t="shared" si="33"/>
        <v>0</v>
      </c>
      <c r="H78" s="146">
        <f t="shared" si="33"/>
        <v>6500</v>
      </c>
      <c r="I78" s="146">
        <f t="shared" si="33"/>
        <v>0</v>
      </c>
      <c r="J78" s="146">
        <f t="shared" si="33"/>
        <v>0</v>
      </c>
      <c r="K78" s="55"/>
    </row>
    <row r="79" spans="1:11" s="21" customFormat="1" ht="15" customHeight="1">
      <c r="A79" s="72"/>
      <c r="B79" s="22" t="s">
        <v>19</v>
      </c>
      <c r="C79" s="168"/>
      <c r="D79" s="114"/>
      <c r="E79" s="114"/>
      <c r="F79" s="147"/>
      <c r="G79" s="147"/>
      <c r="H79" s="147"/>
      <c r="I79" s="147"/>
      <c r="J79" s="147"/>
      <c r="K79" s="56"/>
    </row>
    <row r="80" spans="1:11" s="13" customFormat="1" ht="15" customHeight="1">
      <c r="A80" s="75" t="s">
        <v>246</v>
      </c>
      <c r="B80" s="175" t="s">
        <v>66</v>
      </c>
      <c r="C80" s="144">
        <f aca="true" t="shared" si="34" ref="C80:C86">SUM(D80:J80)</f>
        <v>250</v>
      </c>
      <c r="D80" s="83"/>
      <c r="E80" s="83">
        <v>250</v>
      </c>
      <c r="F80" s="140"/>
      <c r="G80" s="140"/>
      <c r="H80" s="140"/>
      <c r="I80" s="140"/>
      <c r="J80" s="140"/>
      <c r="K80" s="55"/>
    </row>
    <row r="81" spans="1:11" s="13" customFormat="1" ht="15" customHeight="1">
      <c r="A81" s="75" t="s">
        <v>247</v>
      </c>
      <c r="B81" s="22" t="s">
        <v>26</v>
      </c>
      <c r="C81" s="144">
        <f t="shared" si="34"/>
        <v>2500</v>
      </c>
      <c r="D81" s="91"/>
      <c r="E81" s="91"/>
      <c r="F81" s="146"/>
      <c r="G81" s="146"/>
      <c r="H81" s="146">
        <v>2500</v>
      </c>
      <c r="I81" s="146"/>
      <c r="J81" s="146"/>
      <c r="K81" s="55"/>
    </row>
    <row r="82" spans="1:11" s="13" customFormat="1" ht="15" customHeight="1">
      <c r="A82" s="75" t="s">
        <v>248</v>
      </c>
      <c r="B82" s="22" t="s">
        <v>492</v>
      </c>
      <c r="C82" s="144">
        <f t="shared" si="34"/>
        <v>2000</v>
      </c>
      <c r="D82" s="91"/>
      <c r="E82" s="91"/>
      <c r="F82" s="146"/>
      <c r="G82" s="146"/>
      <c r="H82" s="146">
        <v>2000</v>
      </c>
      <c r="I82" s="146"/>
      <c r="J82" s="146"/>
      <c r="K82" s="55"/>
    </row>
    <row r="83" spans="1:11" s="13" customFormat="1" ht="15" customHeight="1">
      <c r="A83" s="75" t="s">
        <v>249</v>
      </c>
      <c r="B83" s="22" t="s">
        <v>494</v>
      </c>
      <c r="C83" s="144">
        <f t="shared" si="34"/>
        <v>0</v>
      </c>
      <c r="D83" s="91"/>
      <c r="E83" s="91"/>
      <c r="F83" s="146"/>
      <c r="G83" s="146"/>
      <c r="H83" s="146"/>
      <c r="I83" s="146"/>
      <c r="J83" s="146"/>
      <c r="K83" s="55"/>
    </row>
    <row r="84" spans="1:11" s="13" customFormat="1" ht="15" customHeight="1">
      <c r="A84" s="75" t="s">
        <v>250</v>
      </c>
      <c r="B84" s="22" t="s">
        <v>172</v>
      </c>
      <c r="C84" s="144">
        <f t="shared" si="34"/>
        <v>0</v>
      </c>
      <c r="D84" s="91"/>
      <c r="E84" s="91"/>
      <c r="F84" s="146"/>
      <c r="G84" s="146"/>
      <c r="H84" s="146"/>
      <c r="I84" s="146"/>
      <c r="J84" s="146"/>
      <c r="K84" s="55"/>
    </row>
    <row r="85" spans="1:11" s="13" customFormat="1" ht="15" customHeight="1">
      <c r="A85" s="75" t="s">
        <v>251</v>
      </c>
      <c r="B85" s="22" t="s">
        <v>72</v>
      </c>
      <c r="C85" s="144">
        <f t="shared" si="34"/>
        <v>0</v>
      </c>
      <c r="D85" s="91"/>
      <c r="E85" s="91"/>
      <c r="F85" s="146"/>
      <c r="G85" s="146"/>
      <c r="H85" s="146"/>
      <c r="I85" s="146"/>
      <c r="J85" s="146"/>
      <c r="K85" s="55"/>
    </row>
    <row r="86" spans="1:11" s="13" customFormat="1" ht="15" customHeight="1">
      <c r="A86" s="75" t="s">
        <v>252</v>
      </c>
      <c r="B86" s="22" t="s">
        <v>493</v>
      </c>
      <c r="C86" s="144">
        <f t="shared" si="34"/>
        <v>2000</v>
      </c>
      <c r="D86" s="91"/>
      <c r="E86" s="91"/>
      <c r="F86" s="146"/>
      <c r="G86" s="146"/>
      <c r="H86" s="146">
        <v>2000</v>
      </c>
      <c r="I86" s="146"/>
      <c r="J86" s="146"/>
      <c r="K86" s="55"/>
    </row>
    <row r="87" spans="1:11" s="7" customFormat="1" ht="15" customHeight="1">
      <c r="A87" s="76"/>
      <c r="B87" s="63"/>
      <c r="C87" s="156"/>
      <c r="D87" s="118"/>
      <c r="E87" s="118"/>
      <c r="F87" s="145"/>
      <c r="G87" s="150"/>
      <c r="H87" s="150"/>
      <c r="I87" s="150"/>
      <c r="J87" s="150"/>
      <c r="K87" s="51"/>
    </row>
    <row r="88" spans="1:11" s="24" customFormat="1" ht="96" customHeight="1">
      <c r="A88" s="76" t="s">
        <v>253</v>
      </c>
      <c r="B88" s="26" t="s">
        <v>105</v>
      </c>
      <c r="C88" s="156">
        <f>SUM(C92:C106)</f>
        <v>30227.479</v>
      </c>
      <c r="D88" s="90">
        <f>SUM(D89:D90)</f>
        <v>144</v>
      </c>
      <c r="E88" s="90">
        <f aca="true" t="shared" si="35" ref="E88:J88">SUM(E89:E90)</f>
        <v>2691.479</v>
      </c>
      <c r="F88" s="144">
        <f t="shared" si="35"/>
        <v>100</v>
      </c>
      <c r="G88" s="156">
        <f>SUM(G89:G90)</f>
        <v>0</v>
      </c>
      <c r="H88" s="156">
        <f t="shared" si="35"/>
        <v>4671</v>
      </c>
      <c r="I88" s="156">
        <f t="shared" si="35"/>
        <v>7621</v>
      </c>
      <c r="J88" s="156">
        <f t="shared" si="35"/>
        <v>15000</v>
      </c>
      <c r="K88" s="51" t="s">
        <v>201</v>
      </c>
    </row>
    <row r="89" spans="1:11" s="7" customFormat="1" ht="15" customHeight="1">
      <c r="A89" s="76" t="s">
        <v>254</v>
      </c>
      <c r="B89" s="9" t="s">
        <v>7</v>
      </c>
      <c r="C89" s="156">
        <f>SUM(D89:J89)</f>
        <v>30227.479</v>
      </c>
      <c r="D89" s="118">
        <f aca="true" t="shared" si="36" ref="D89:J89">SUM(D92:D106)</f>
        <v>144</v>
      </c>
      <c r="E89" s="118">
        <f t="shared" si="36"/>
        <v>2691.479</v>
      </c>
      <c r="F89" s="145">
        <f t="shared" si="36"/>
        <v>100</v>
      </c>
      <c r="G89" s="145">
        <f t="shared" si="36"/>
        <v>0</v>
      </c>
      <c r="H89" s="145">
        <f t="shared" si="36"/>
        <v>4671</v>
      </c>
      <c r="I89" s="145">
        <f t="shared" si="36"/>
        <v>7621</v>
      </c>
      <c r="J89" s="145">
        <f t="shared" si="36"/>
        <v>15000</v>
      </c>
      <c r="K89" s="57"/>
    </row>
    <row r="90" spans="1:11" s="7" customFormat="1" ht="15" customHeight="1">
      <c r="A90" s="76" t="s">
        <v>255</v>
      </c>
      <c r="B90" s="9" t="s">
        <v>9</v>
      </c>
      <c r="C90" s="156">
        <f>SUM(D90:J90)</f>
        <v>0</v>
      </c>
      <c r="D90" s="118"/>
      <c r="E90" s="118"/>
      <c r="F90" s="145"/>
      <c r="G90" s="150"/>
      <c r="H90" s="150"/>
      <c r="I90" s="150"/>
      <c r="J90" s="150"/>
      <c r="K90" s="57"/>
    </row>
    <row r="91" spans="1:11" s="12" customFormat="1" ht="15.75">
      <c r="A91" s="73"/>
      <c r="B91" s="9" t="s">
        <v>20</v>
      </c>
      <c r="C91" s="169"/>
      <c r="D91" s="114"/>
      <c r="E91" s="114"/>
      <c r="F91" s="147"/>
      <c r="G91" s="158"/>
      <c r="H91" s="158"/>
      <c r="I91" s="158"/>
      <c r="J91" s="158"/>
      <c r="K91" s="53"/>
    </row>
    <row r="92" spans="1:11" s="7" customFormat="1" ht="15.75">
      <c r="A92" s="76" t="s">
        <v>256</v>
      </c>
      <c r="B92" s="9" t="s">
        <v>27</v>
      </c>
      <c r="C92" s="144">
        <f aca="true" t="shared" si="37" ref="C92:C100">SUM(D92:J92)</f>
        <v>144</v>
      </c>
      <c r="D92" s="91">
        <v>144</v>
      </c>
      <c r="E92" s="91"/>
      <c r="F92" s="146"/>
      <c r="G92" s="146"/>
      <c r="H92" s="146"/>
      <c r="I92" s="160"/>
      <c r="J92" s="160"/>
      <c r="K92" s="51"/>
    </row>
    <row r="93" spans="1:11" s="7" customFormat="1" ht="15.75">
      <c r="A93" s="76" t="s">
        <v>257</v>
      </c>
      <c r="B93" s="9" t="s">
        <v>221</v>
      </c>
      <c r="C93" s="144">
        <f t="shared" si="37"/>
        <v>4400</v>
      </c>
      <c r="D93" s="91"/>
      <c r="E93" s="91"/>
      <c r="F93" s="146"/>
      <c r="G93" s="146"/>
      <c r="H93" s="146"/>
      <c r="I93" s="160"/>
      <c r="J93" s="160">
        <v>4400</v>
      </c>
      <c r="K93" s="51"/>
    </row>
    <row r="94" spans="1:11" s="7" customFormat="1" ht="15.75">
      <c r="A94" s="76" t="s">
        <v>258</v>
      </c>
      <c r="B94" s="9" t="s">
        <v>496</v>
      </c>
      <c r="C94" s="144">
        <f t="shared" si="37"/>
        <v>4600.17</v>
      </c>
      <c r="D94" s="91"/>
      <c r="E94" s="91"/>
      <c r="F94" s="146"/>
      <c r="G94" s="146"/>
      <c r="H94" s="146">
        <v>2100.17</v>
      </c>
      <c r="I94" s="160"/>
      <c r="J94" s="160">
        <v>2500</v>
      </c>
      <c r="K94" s="51"/>
    </row>
    <row r="95" spans="1:11" s="7" customFormat="1" ht="15.75">
      <c r="A95" s="76" t="s">
        <v>259</v>
      </c>
      <c r="B95" s="9" t="s">
        <v>498</v>
      </c>
      <c r="C95" s="144">
        <f t="shared" si="37"/>
        <v>8170.83</v>
      </c>
      <c r="D95" s="91"/>
      <c r="E95" s="91"/>
      <c r="F95" s="146"/>
      <c r="G95" s="146"/>
      <c r="H95" s="146">
        <v>2170.83</v>
      </c>
      <c r="I95" s="160">
        <v>6000</v>
      </c>
      <c r="J95" s="160"/>
      <c r="K95" s="51"/>
    </row>
    <row r="96" spans="1:11" s="7" customFormat="1" ht="15" customHeight="1">
      <c r="A96" s="76" t="s">
        <v>260</v>
      </c>
      <c r="B96" s="9" t="s">
        <v>73</v>
      </c>
      <c r="C96" s="144">
        <f t="shared" si="37"/>
        <v>2441.479</v>
      </c>
      <c r="D96" s="91"/>
      <c r="E96" s="91">
        <f>266+875.8-159.65+858.954+600.375</f>
        <v>2441.479</v>
      </c>
      <c r="F96" s="146"/>
      <c r="G96" s="146"/>
      <c r="H96" s="146"/>
      <c r="I96" s="160"/>
      <c r="J96" s="160"/>
      <c r="K96" s="51"/>
    </row>
    <row r="97" spans="1:11" s="7" customFormat="1" ht="15" customHeight="1">
      <c r="A97" s="76" t="s">
        <v>261</v>
      </c>
      <c r="B97" s="65" t="s">
        <v>170</v>
      </c>
      <c r="C97" s="144">
        <f t="shared" si="37"/>
        <v>0</v>
      </c>
      <c r="D97" s="91"/>
      <c r="E97" s="91"/>
      <c r="F97" s="146"/>
      <c r="G97" s="146"/>
      <c r="H97" s="146"/>
      <c r="I97" s="160"/>
      <c r="J97" s="160"/>
      <c r="K97" s="51"/>
    </row>
    <row r="98" spans="1:11" s="7" customFormat="1" ht="15" customHeight="1">
      <c r="A98" s="76" t="s">
        <v>262</v>
      </c>
      <c r="B98" s="65" t="s">
        <v>497</v>
      </c>
      <c r="C98" s="144">
        <f t="shared" si="37"/>
        <v>1000</v>
      </c>
      <c r="D98" s="91"/>
      <c r="E98" s="91"/>
      <c r="F98" s="146"/>
      <c r="G98" s="146"/>
      <c r="H98" s="146"/>
      <c r="I98" s="160"/>
      <c r="J98" s="160">
        <v>1000</v>
      </c>
      <c r="K98" s="51"/>
    </row>
    <row r="99" spans="1:11" s="7" customFormat="1" ht="15" customHeight="1">
      <c r="A99" s="76" t="s">
        <v>263</v>
      </c>
      <c r="B99" s="65" t="s">
        <v>499</v>
      </c>
      <c r="C99" s="144">
        <f t="shared" si="37"/>
        <v>6000</v>
      </c>
      <c r="D99" s="91"/>
      <c r="E99" s="91"/>
      <c r="F99" s="146"/>
      <c r="G99" s="146"/>
      <c r="H99" s="146"/>
      <c r="I99" s="160"/>
      <c r="J99" s="160">
        <v>6000</v>
      </c>
      <c r="K99" s="51"/>
    </row>
    <row r="100" spans="1:11" s="7" customFormat="1" ht="15" customHeight="1">
      <c r="A100" s="76" t="s">
        <v>264</v>
      </c>
      <c r="B100" s="65" t="s">
        <v>500</v>
      </c>
      <c r="C100" s="144">
        <f t="shared" si="37"/>
        <v>1100</v>
      </c>
      <c r="D100" s="91"/>
      <c r="E100" s="91"/>
      <c r="F100" s="146"/>
      <c r="G100" s="146"/>
      <c r="H100" s="146"/>
      <c r="I100" s="160"/>
      <c r="J100" s="160">
        <v>1100</v>
      </c>
      <c r="K100" s="51"/>
    </row>
    <row r="101" spans="1:11" s="7" customFormat="1" ht="35.25" customHeight="1">
      <c r="A101" s="76"/>
      <c r="B101" s="9" t="s">
        <v>63</v>
      </c>
      <c r="C101" s="144"/>
      <c r="D101" s="91"/>
      <c r="E101" s="91"/>
      <c r="F101" s="146"/>
      <c r="G101" s="146"/>
      <c r="H101" s="146"/>
      <c r="I101" s="160"/>
      <c r="J101" s="160"/>
      <c r="K101" s="51"/>
    </row>
    <row r="102" spans="1:11" s="7" customFormat="1" ht="15" customHeight="1">
      <c r="A102" s="76" t="s">
        <v>265</v>
      </c>
      <c r="B102" s="11" t="s">
        <v>171</v>
      </c>
      <c r="C102" s="144">
        <f>SUM(D102:J102)</f>
        <v>800</v>
      </c>
      <c r="D102" s="91"/>
      <c r="E102" s="91">
        <f>250</f>
        <v>250</v>
      </c>
      <c r="F102" s="146"/>
      <c r="G102" s="146"/>
      <c r="H102" s="146">
        <v>250</v>
      </c>
      <c r="I102" s="160">
        <v>300</v>
      </c>
      <c r="J102" s="160"/>
      <c r="K102" s="51"/>
    </row>
    <row r="103" spans="1:11" s="7" customFormat="1" ht="15" customHeight="1">
      <c r="A103" s="76" t="s">
        <v>266</v>
      </c>
      <c r="B103" s="11" t="s">
        <v>492</v>
      </c>
      <c r="C103" s="144">
        <f>SUM(D103:J103)</f>
        <v>1013.5</v>
      </c>
      <c r="D103" s="91"/>
      <c r="E103" s="91"/>
      <c r="F103" s="146"/>
      <c r="G103" s="146"/>
      <c r="H103" s="146"/>
      <c r="I103" s="160">
        <v>1013.5</v>
      </c>
      <c r="J103" s="160"/>
      <c r="K103" s="51"/>
    </row>
    <row r="104" spans="1:11" s="7" customFormat="1" ht="15" customHeight="1">
      <c r="A104" s="76" t="s">
        <v>267</v>
      </c>
      <c r="B104" s="11" t="s">
        <v>172</v>
      </c>
      <c r="C104" s="144">
        <f>SUM(D104:J104)</f>
        <v>100</v>
      </c>
      <c r="D104" s="91"/>
      <c r="E104" s="91"/>
      <c r="F104" s="146">
        <f>100</f>
        <v>100</v>
      </c>
      <c r="G104" s="146"/>
      <c r="H104" s="146"/>
      <c r="I104" s="160"/>
      <c r="J104" s="160"/>
      <c r="K104" s="51"/>
    </row>
    <row r="105" spans="1:11" s="7" customFormat="1" ht="15" customHeight="1">
      <c r="A105" s="76" t="s">
        <v>268</v>
      </c>
      <c r="B105" s="11" t="s">
        <v>495</v>
      </c>
      <c r="C105" s="144">
        <f>SUM(D105:J105)</f>
        <v>307.5</v>
      </c>
      <c r="D105" s="91"/>
      <c r="E105" s="91"/>
      <c r="F105" s="146"/>
      <c r="G105" s="146"/>
      <c r="H105" s="146"/>
      <c r="I105" s="160">
        <v>307.5</v>
      </c>
      <c r="J105" s="160"/>
      <c r="K105" s="51"/>
    </row>
    <row r="106" spans="1:11" s="7" customFormat="1" ht="15" customHeight="1">
      <c r="A106" s="76" t="s">
        <v>269</v>
      </c>
      <c r="B106" s="11" t="s">
        <v>493</v>
      </c>
      <c r="C106" s="144">
        <f>SUM(D106:J106)</f>
        <v>150</v>
      </c>
      <c r="D106" s="91"/>
      <c r="E106" s="91"/>
      <c r="F106" s="146"/>
      <c r="G106" s="146"/>
      <c r="H106" s="146">
        <v>150</v>
      </c>
      <c r="I106" s="160"/>
      <c r="J106" s="160"/>
      <c r="K106" s="51"/>
    </row>
    <row r="107" spans="1:11" s="7" customFormat="1" ht="15" customHeight="1">
      <c r="A107" s="76"/>
      <c r="B107" s="11"/>
      <c r="C107" s="156"/>
      <c r="D107" s="68"/>
      <c r="E107" s="68"/>
      <c r="F107" s="148"/>
      <c r="G107" s="159"/>
      <c r="H107" s="159"/>
      <c r="I107" s="159"/>
      <c r="J107" s="159"/>
      <c r="K107" s="51"/>
    </row>
    <row r="108" spans="1:11" s="25" customFormat="1" ht="81.75" customHeight="1">
      <c r="A108" s="72" t="s">
        <v>270</v>
      </c>
      <c r="B108" s="176" t="s">
        <v>106</v>
      </c>
      <c r="C108" s="143">
        <f>SUM(C109)</f>
        <v>960759.8</v>
      </c>
      <c r="D108" s="85">
        <f>SUM(D109)</f>
        <v>98262</v>
      </c>
      <c r="E108" s="85">
        <f aca="true" t="shared" si="38" ref="E108:J108">SUM(E109)</f>
        <v>105283</v>
      </c>
      <c r="F108" s="143">
        <f t="shared" si="38"/>
        <v>149688.8</v>
      </c>
      <c r="G108" s="143">
        <f t="shared" si="38"/>
        <v>146836</v>
      </c>
      <c r="H108" s="143">
        <f t="shared" si="38"/>
        <v>150092</v>
      </c>
      <c r="I108" s="143">
        <f t="shared" si="38"/>
        <v>152396</v>
      </c>
      <c r="J108" s="143">
        <f t="shared" si="38"/>
        <v>158202</v>
      </c>
      <c r="K108" s="55" t="s">
        <v>202</v>
      </c>
    </row>
    <row r="109" spans="1:11" s="13" customFormat="1" ht="15" customHeight="1">
      <c r="A109" s="72" t="s">
        <v>271</v>
      </c>
      <c r="B109" s="22" t="s">
        <v>9</v>
      </c>
      <c r="C109" s="144">
        <f>SUM(D109:J109)</f>
        <v>960759.8</v>
      </c>
      <c r="D109" s="68">
        <f>87177+6741+4344</f>
        <v>98262</v>
      </c>
      <c r="E109" s="68">
        <f>109598-4315</f>
        <v>105283</v>
      </c>
      <c r="F109" s="148">
        <f>150914-1225.2</f>
        <v>149688.8</v>
      </c>
      <c r="G109" s="148">
        <f>150096-3260</f>
        <v>146836</v>
      </c>
      <c r="H109" s="148">
        <v>150092</v>
      </c>
      <c r="I109" s="148">
        <v>152396</v>
      </c>
      <c r="J109" s="148">
        <v>158202</v>
      </c>
      <c r="K109" s="55"/>
    </row>
    <row r="110" spans="1:11" s="7" customFormat="1" ht="15" customHeight="1">
      <c r="A110" s="76"/>
      <c r="B110" s="64"/>
      <c r="C110" s="156"/>
      <c r="D110" s="68"/>
      <c r="E110" s="68"/>
      <c r="F110" s="148"/>
      <c r="G110" s="148"/>
      <c r="H110" s="148"/>
      <c r="I110" s="148"/>
      <c r="J110" s="148"/>
      <c r="K110" s="51"/>
    </row>
    <row r="111" spans="1:11" s="25" customFormat="1" ht="82.5" customHeight="1">
      <c r="A111" s="75" t="s">
        <v>272</v>
      </c>
      <c r="B111" s="177" t="s">
        <v>107</v>
      </c>
      <c r="C111" s="143">
        <f>SUM(C112:C114)</f>
        <v>920289.7320000001</v>
      </c>
      <c r="D111" s="85">
        <f aca="true" t="shared" si="39" ref="D111:J111">SUM(D112:D114)</f>
        <v>137034.519</v>
      </c>
      <c r="E111" s="85">
        <f t="shared" si="39"/>
        <v>153941.77599999998</v>
      </c>
      <c r="F111" s="143">
        <f t="shared" si="39"/>
        <v>119106.73700000001</v>
      </c>
      <c r="G111" s="143">
        <f t="shared" si="39"/>
        <v>124947.7</v>
      </c>
      <c r="H111" s="143">
        <f t="shared" si="39"/>
        <v>125480</v>
      </c>
      <c r="I111" s="143">
        <f t="shared" si="39"/>
        <v>128779</v>
      </c>
      <c r="J111" s="143">
        <f t="shared" si="39"/>
        <v>131000</v>
      </c>
      <c r="K111" s="55" t="s">
        <v>203</v>
      </c>
    </row>
    <row r="112" spans="1:11" s="13" customFormat="1" ht="15" customHeight="1">
      <c r="A112" s="75" t="s">
        <v>273</v>
      </c>
      <c r="B112" s="22" t="s">
        <v>7</v>
      </c>
      <c r="C112" s="144">
        <f>SUM(D112:J112)</f>
        <v>645973.7320000001</v>
      </c>
      <c r="D112" s="68">
        <v>104718.519</v>
      </c>
      <c r="E112" s="68">
        <f>118131-150+159.65-1200-455.891-587.485+44.502</f>
        <v>115941.77599999998</v>
      </c>
      <c r="F112" s="148">
        <f>69537.1+4500+4741.615+250-100-200+178.022+200</f>
        <v>79106.73700000001</v>
      </c>
      <c r="G112" s="148">
        <v>83947.7</v>
      </c>
      <c r="H112" s="148">
        <v>84480</v>
      </c>
      <c r="I112" s="148">
        <f>87379+400</f>
        <v>87779</v>
      </c>
      <c r="J112" s="148">
        <f>94600+400-5000</f>
        <v>90000</v>
      </c>
      <c r="K112" s="55"/>
    </row>
    <row r="113" spans="1:11" s="13" customFormat="1" ht="15" customHeight="1">
      <c r="A113" s="75" t="s">
        <v>274</v>
      </c>
      <c r="B113" s="19" t="s">
        <v>9</v>
      </c>
      <c r="C113" s="144">
        <f>SUM(D113:J113)</f>
        <v>1316</v>
      </c>
      <c r="D113" s="68">
        <v>1316</v>
      </c>
      <c r="E113" s="68"/>
      <c r="F113" s="148"/>
      <c r="G113" s="148"/>
      <c r="H113" s="148"/>
      <c r="I113" s="148"/>
      <c r="J113" s="148"/>
      <c r="K113" s="55"/>
    </row>
    <row r="114" spans="1:11" s="13" customFormat="1" ht="15" customHeight="1">
      <c r="A114" s="75" t="s">
        <v>275</v>
      </c>
      <c r="B114" s="22" t="s">
        <v>10</v>
      </c>
      <c r="C114" s="144">
        <f>SUM(D114:J114)</f>
        <v>273000</v>
      </c>
      <c r="D114" s="68">
        <v>31000</v>
      </c>
      <c r="E114" s="68">
        <v>38000</v>
      </c>
      <c r="F114" s="148">
        <v>40000</v>
      </c>
      <c r="G114" s="148">
        <v>41000</v>
      </c>
      <c r="H114" s="148">
        <v>41000</v>
      </c>
      <c r="I114" s="148">
        <v>41000</v>
      </c>
      <c r="J114" s="148">
        <v>41000</v>
      </c>
      <c r="K114" s="55"/>
    </row>
    <row r="115" spans="1:11" s="7" customFormat="1" ht="15" customHeight="1">
      <c r="A115" s="76"/>
      <c r="B115" s="64"/>
      <c r="C115" s="156"/>
      <c r="D115" s="68"/>
      <c r="E115" s="68"/>
      <c r="F115" s="148"/>
      <c r="G115" s="148"/>
      <c r="H115" s="148"/>
      <c r="I115" s="148"/>
      <c r="J115" s="148"/>
      <c r="K115" s="51"/>
    </row>
    <row r="116" spans="1:11" s="25" customFormat="1" ht="63">
      <c r="A116" s="75" t="s">
        <v>276</v>
      </c>
      <c r="B116" s="177" t="s">
        <v>108</v>
      </c>
      <c r="C116" s="143">
        <f aca="true" t="shared" si="40" ref="C116:J116">SUM(C117:C117)</f>
        <v>3103.2219999999998</v>
      </c>
      <c r="D116" s="85">
        <f t="shared" si="40"/>
        <v>2207</v>
      </c>
      <c r="E116" s="85">
        <f t="shared" si="40"/>
        <v>896.222</v>
      </c>
      <c r="F116" s="143">
        <f t="shared" si="40"/>
        <v>0</v>
      </c>
      <c r="G116" s="143">
        <f t="shared" si="40"/>
        <v>0</v>
      </c>
      <c r="H116" s="143">
        <f t="shared" si="40"/>
        <v>0</v>
      </c>
      <c r="I116" s="143">
        <f t="shared" si="40"/>
        <v>0</v>
      </c>
      <c r="J116" s="143">
        <f t="shared" si="40"/>
        <v>0</v>
      </c>
      <c r="K116" s="55" t="s">
        <v>180</v>
      </c>
    </row>
    <row r="117" spans="1:11" s="13" customFormat="1" ht="15.75">
      <c r="A117" s="72" t="s">
        <v>277</v>
      </c>
      <c r="B117" s="22" t="s">
        <v>7</v>
      </c>
      <c r="C117" s="144">
        <f>SUM(D117:J117)</f>
        <v>3103.2219999999998</v>
      </c>
      <c r="D117" s="83">
        <f>1000+1207</f>
        <v>2207</v>
      </c>
      <c r="E117" s="83">
        <f>505+391.3-0.078</f>
        <v>896.222</v>
      </c>
      <c r="F117" s="140"/>
      <c r="G117" s="140"/>
      <c r="H117" s="140"/>
      <c r="I117" s="140"/>
      <c r="J117" s="140"/>
      <c r="K117" s="55"/>
    </row>
    <row r="118" spans="1:11" s="13" customFormat="1" ht="15.75">
      <c r="A118" s="75"/>
      <c r="B118" s="22"/>
      <c r="C118" s="143"/>
      <c r="D118" s="83"/>
      <c r="E118" s="83"/>
      <c r="F118" s="140"/>
      <c r="G118" s="140"/>
      <c r="H118" s="140"/>
      <c r="I118" s="140"/>
      <c r="J118" s="140"/>
      <c r="K118" s="55"/>
    </row>
    <row r="119" spans="1:11" s="25" customFormat="1" ht="47.25">
      <c r="A119" s="75" t="s">
        <v>278</v>
      </c>
      <c r="B119" s="177" t="s">
        <v>109</v>
      </c>
      <c r="C119" s="143">
        <f>SUM(D119:J119)</f>
        <v>50221.235</v>
      </c>
      <c r="D119" s="85">
        <f>SUM(D120:D121)</f>
        <v>0</v>
      </c>
      <c r="E119" s="85">
        <f aca="true" t="shared" si="41" ref="E119:J119">SUM(E120:E121)</f>
        <v>50221.235</v>
      </c>
      <c r="F119" s="143">
        <f t="shared" si="41"/>
        <v>0</v>
      </c>
      <c r="G119" s="143">
        <f t="shared" si="41"/>
        <v>0</v>
      </c>
      <c r="H119" s="143">
        <f t="shared" si="41"/>
        <v>0</v>
      </c>
      <c r="I119" s="143">
        <f t="shared" si="41"/>
        <v>0</v>
      </c>
      <c r="J119" s="143">
        <f t="shared" si="41"/>
        <v>0</v>
      </c>
      <c r="K119" s="55" t="s">
        <v>180</v>
      </c>
    </row>
    <row r="120" spans="1:11" s="25" customFormat="1" ht="15.75">
      <c r="A120" s="75" t="s">
        <v>279</v>
      </c>
      <c r="B120" s="22" t="s">
        <v>7</v>
      </c>
      <c r="C120" s="144">
        <f>SUM(D120:J120)</f>
        <v>24321.235</v>
      </c>
      <c r="D120" s="92">
        <f>SUM(D124+D128)</f>
        <v>0</v>
      </c>
      <c r="E120" s="92">
        <f aca="true" t="shared" si="42" ref="E120:J120">SUM(E124+E128+E131+E134)</f>
        <v>24321.235</v>
      </c>
      <c r="F120" s="151">
        <f t="shared" si="42"/>
        <v>0</v>
      </c>
      <c r="G120" s="151">
        <f t="shared" si="42"/>
        <v>0</v>
      </c>
      <c r="H120" s="151">
        <f t="shared" si="42"/>
        <v>0</v>
      </c>
      <c r="I120" s="151">
        <f t="shared" si="42"/>
        <v>0</v>
      </c>
      <c r="J120" s="151">
        <f t="shared" si="42"/>
        <v>0</v>
      </c>
      <c r="K120" s="55"/>
    </row>
    <row r="121" spans="1:11" s="25" customFormat="1" ht="15.75">
      <c r="A121" s="75" t="s">
        <v>280</v>
      </c>
      <c r="B121" s="19" t="s">
        <v>9</v>
      </c>
      <c r="C121" s="144">
        <f>SUM(D121:J121)</f>
        <v>25900</v>
      </c>
      <c r="D121" s="92">
        <f>SUM(D125)</f>
        <v>0</v>
      </c>
      <c r="E121" s="92">
        <f aca="true" t="shared" si="43" ref="E121:J121">SUM(E125+E135)</f>
        <v>25900</v>
      </c>
      <c r="F121" s="151">
        <f t="shared" si="43"/>
        <v>0</v>
      </c>
      <c r="G121" s="151">
        <f t="shared" si="43"/>
        <v>0</v>
      </c>
      <c r="H121" s="151">
        <f t="shared" si="43"/>
        <v>0</v>
      </c>
      <c r="I121" s="151">
        <f t="shared" si="43"/>
        <v>0</v>
      </c>
      <c r="J121" s="151">
        <f t="shared" si="43"/>
        <v>0</v>
      </c>
      <c r="K121" s="55"/>
    </row>
    <row r="122" spans="1:11" s="25" customFormat="1" ht="15.75">
      <c r="A122" s="72"/>
      <c r="B122" s="22" t="s">
        <v>81</v>
      </c>
      <c r="C122" s="144"/>
      <c r="D122" s="85"/>
      <c r="E122" s="85"/>
      <c r="F122" s="143"/>
      <c r="G122" s="143"/>
      <c r="H122" s="143"/>
      <c r="I122" s="143"/>
      <c r="J122" s="143"/>
      <c r="K122" s="55"/>
    </row>
    <row r="123" spans="1:11" s="25" customFormat="1" ht="31.5">
      <c r="A123" s="72" t="s">
        <v>281</v>
      </c>
      <c r="B123" s="22" t="s">
        <v>82</v>
      </c>
      <c r="C123" s="144">
        <f aca="true" t="shared" si="44" ref="C123:C135">SUM(D123:J123)</f>
        <v>40341.235</v>
      </c>
      <c r="D123" s="85">
        <f aca="true" t="shared" si="45" ref="D123:J123">SUM(D124:D125)</f>
        <v>0</v>
      </c>
      <c r="E123" s="85">
        <f t="shared" si="45"/>
        <v>40341.235</v>
      </c>
      <c r="F123" s="143">
        <f t="shared" si="45"/>
        <v>0</v>
      </c>
      <c r="G123" s="143">
        <f t="shared" si="45"/>
        <v>0</v>
      </c>
      <c r="H123" s="143">
        <f t="shared" si="45"/>
        <v>0</v>
      </c>
      <c r="I123" s="143">
        <f t="shared" si="45"/>
        <v>0</v>
      </c>
      <c r="J123" s="143">
        <f t="shared" si="45"/>
        <v>0</v>
      </c>
      <c r="K123" s="55"/>
    </row>
    <row r="124" spans="1:11" s="25" customFormat="1" ht="15.75">
      <c r="A124" s="72" t="s">
        <v>282</v>
      </c>
      <c r="B124" s="22" t="s">
        <v>7</v>
      </c>
      <c r="C124" s="144">
        <f t="shared" si="44"/>
        <v>17241.235</v>
      </c>
      <c r="D124" s="92"/>
      <c r="E124" s="92">
        <f>9900+4820+1900+621.235</f>
        <v>17241.235</v>
      </c>
      <c r="F124" s="151">
        <f>2700-2700</f>
        <v>0</v>
      </c>
      <c r="G124" s="151"/>
      <c r="H124" s="151"/>
      <c r="I124" s="151"/>
      <c r="J124" s="151"/>
      <c r="K124" s="55"/>
    </row>
    <row r="125" spans="1:11" s="25" customFormat="1" ht="15.75">
      <c r="A125" s="72" t="s">
        <v>283</v>
      </c>
      <c r="B125" s="19" t="s">
        <v>9</v>
      </c>
      <c r="C125" s="144">
        <f t="shared" si="44"/>
        <v>23100</v>
      </c>
      <c r="D125" s="92"/>
      <c r="E125" s="92">
        <v>23100</v>
      </c>
      <c r="F125" s="151"/>
      <c r="G125" s="151"/>
      <c r="H125" s="151"/>
      <c r="I125" s="151"/>
      <c r="J125" s="151"/>
      <c r="K125" s="55"/>
    </row>
    <row r="126" spans="1:11" s="25" customFormat="1" ht="15.75">
      <c r="A126" s="72"/>
      <c r="B126" s="19"/>
      <c r="C126" s="144"/>
      <c r="D126" s="92"/>
      <c r="E126" s="92"/>
      <c r="F126" s="151"/>
      <c r="G126" s="151"/>
      <c r="H126" s="151"/>
      <c r="I126" s="151"/>
      <c r="J126" s="151"/>
      <c r="K126" s="55"/>
    </row>
    <row r="127" spans="1:11" s="25" customFormat="1" ht="31.5">
      <c r="A127" s="72" t="s">
        <v>284</v>
      </c>
      <c r="B127" s="178" t="s">
        <v>80</v>
      </c>
      <c r="C127" s="144">
        <f t="shared" si="44"/>
        <v>780</v>
      </c>
      <c r="D127" s="92">
        <f>SUM(D128)</f>
        <v>0</v>
      </c>
      <c r="E127" s="92">
        <f aca="true" t="shared" si="46" ref="E127:J130">SUM(E128)</f>
        <v>780</v>
      </c>
      <c r="F127" s="151">
        <f t="shared" si="46"/>
        <v>0</v>
      </c>
      <c r="G127" s="151">
        <f t="shared" si="46"/>
        <v>0</v>
      </c>
      <c r="H127" s="151">
        <f t="shared" si="46"/>
        <v>0</v>
      </c>
      <c r="I127" s="151">
        <f t="shared" si="46"/>
        <v>0</v>
      </c>
      <c r="J127" s="151">
        <f t="shared" si="46"/>
        <v>0</v>
      </c>
      <c r="K127" s="55"/>
    </row>
    <row r="128" spans="1:11" s="13" customFormat="1" ht="15.75">
      <c r="A128" s="72" t="s">
        <v>285</v>
      </c>
      <c r="B128" s="22" t="s">
        <v>7</v>
      </c>
      <c r="C128" s="144">
        <f t="shared" si="44"/>
        <v>780</v>
      </c>
      <c r="D128" s="83"/>
      <c r="E128" s="83">
        <f>600+180</f>
        <v>780</v>
      </c>
      <c r="F128" s="140"/>
      <c r="G128" s="140"/>
      <c r="H128" s="140"/>
      <c r="I128" s="140"/>
      <c r="J128" s="140"/>
      <c r="K128" s="55"/>
    </row>
    <row r="129" spans="1:11" s="13" customFormat="1" ht="15.75">
      <c r="A129" s="72"/>
      <c r="B129" s="22"/>
      <c r="C129" s="144"/>
      <c r="D129" s="83"/>
      <c r="E129" s="83"/>
      <c r="F129" s="140"/>
      <c r="G129" s="140"/>
      <c r="H129" s="140"/>
      <c r="I129" s="140"/>
      <c r="J129" s="140"/>
      <c r="K129" s="55"/>
    </row>
    <row r="130" spans="1:11" s="25" customFormat="1" ht="31.5">
      <c r="A130" s="72" t="s">
        <v>286</v>
      </c>
      <c r="B130" s="178" t="s">
        <v>90</v>
      </c>
      <c r="C130" s="144">
        <f>SUM(D130:J130)</f>
        <v>5100</v>
      </c>
      <c r="D130" s="92">
        <f>SUM(D131)</f>
        <v>0</v>
      </c>
      <c r="E130" s="92">
        <f t="shared" si="46"/>
        <v>5100</v>
      </c>
      <c r="F130" s="151">
        <f t="shared" si="46"/>
        <v>0</v>
      </c>
      <c r="G130" s="151">
        <f t="shared" si="46"/>
        <v>0</v>
      </c>
      <c r="H130" s="151">
        <f t="shared" si="46"/>
        <v>0</v>
      </c>
      <c r="I130" s="151">
        <f t="shared" si="46"/>
        <v>0</v>
      </c>
      <c r="J130" s="151">
        <f t="shared" si="46"/>
        <v>0</v>
      </c>
      <c r="K130" s="55"/>
    </row>
    <row r="131" spans="1:11" s="13" customFormat="1" ht="15.75">
      <c r="A131" s="72" t="s">
        <v>287</v>
      </c>
      <c r="B131" s="22" t="s">
        <v>7</v>
      </c>
      <c r="C131" s="144">
        <f>SUM(D131:J131)</f>
        <v>5100</v>
      </c>
      <c r="D131" s="83"/>
      <c r="E131" s="83">
        <f>7000-1900</f>
        <v>5100</v>
      </c>
      <c r="F131" s="140"/>
      <c r="G131" s="140"/>
      <c r="H131" s="140"/>
      <c r="I131" s="140"/>
      <c r="J131" s="140"/>
      <c r="K131" s="55"/>
    </row>
    <row r="132" spans="1:11" s="13" customFormat="1" ht="15.75">
      <c r="A132" s="72"/>
      <c r="B132" s="22"/>
      <c r="C132" s="144"/>
      <c r="D132" s="83"/>
      <c r="E132" s="83"/>
      <c r="F132" s="140"/>
      <c r="G132" s="140"/>
      <c r="H132" s="140"/>
      <c r="I132" s="140"/>
      <c r="J132" s="140"/>
      <c r="K132" s="55"/>
    </row>
    <row r="133" spans="1:11" s="13" customFormat="1" ht="31.5">
      <c r="A133" s="72" t="s">
        <v>288</v>
      </c>
      <c r="B133" s="22" t="s">
        <v>485</v>
      </c>
      <c r="C133" s="144">
        <f t="shared" si="44"/>
        <v>4000</v>
      </c>
      <c r="D133" s="85">
        <f aca="true" t="shared" si="47" ref="D133:J133">SUM(D134:D135)</f>
        <v>0</v>
      </c>
      <c r="E133" s="85">
        <f t="shared" si="47"/>
        <v>4000</v>
      </c>
      <c r="F133" s="143">
        <f t="shared" si="47"/>
        <v>0</v>
      </c>
      <c r="G133" s="143">
        <f t="shared" si="47"/>
        <v>0</v>
      </c>
      <c r="H133" s="143">
        <f t="shared" si="47"/>
        <v>0</v>
      </c>
      <c r="I133" s="143">
        <f t="shared" si="47"/>
        <v>0</v>
      </c>
      <c r="J133" s="143">
        <f t="shared" si="47"/>
        <v>0</v>
      </c>
      <c r="K133" s="55"/>
    </row>
    <row r="134" spans="1:11" s="13" customFormat="1" ht="15.75">
      <c r="A134" s="72" t="s">
        <v>289</v>
      </c>
      <c r="B134" s="22" t="s">
        <v>7</v>
      </c>
      <c r="C134" s="144">
        <f t="shared" si="44"/>
        <v>1200</v>
      </c>
      <c r="D134" s="83"/>
      <c r="E134" s="83">
        <f>1200</f>
        <v>1200</v>
      </c>
      <c r="F134" s="140"/>
      <c r="G134" s="140"/>
      <c r="H134" s="140"/>
      <c r="I134" s="140"/>
      <c r="J134" s="140"/>
      <c r="K134" s="55"/>
    </row>
    <row r="135" spans="1:11" s="13" customFormat="1" ht="15.75">
      <c r="A135" s="72" t="s">
        <v>290</v>
      </c>
      <c r="B135" s="19" t="s">
        <v>9</v>
      </c>
      <c r="C135" s="144">
        <f t="shared" si="44"/>
        <v>2800</v>
      </c>
      <c r="D135" s="83"/>
      <c r="E135" s="83">
        <f>2800</f>
        <v>2800</v>
      </c>
      <c r="F135" s="140"/>
      <c r="G135" s="140"/>
      <c r="H135" s="140"/>
      <c r="I135" s="140"/>
      <c r="J135" s="140"/>
      <c r="K135" s="55"/>
    </row>
    <row r="136" spans="1:11" s="13" customFormat="1" ht="15.75">
      <c r="A136" s="72"/>
      <c r="B136" s="22"/>
      <c r="C136" s="144"/>
      <c r="D136" s="83"/>
      <c r="E136" s="83"/>
      <c r="F136" s="140"/>
      <c r="G136" s="140"/>
      <c r="H136" s="140"/>
      <c r="I136" s="140"/>
      <c r="J136" s="140"/>
      <c r="K136" s="55"/>
    </row>
    <row r="137" spans="1:11" s="181" customFormat="1" ht="63" customHeight="1">
      <c r="A137" s="75" t="s">
        <v>291</v>
      </c>
      <c r="B137" s="182" t="s">
        <v>491</v>
      </c>
      <c r="C137" s="143">
        <f>SUM(C138:C140)</f>
        <v>500</v>
      </c>
      <c r="D137" s="85">
        <f>SUM(D138:D139)</f>
        <v>0</v>
      </c>
      <c r="E137" s="85">
        <f>SUM(E138:E140)</f>
        <v>0</v>
      </c>
      <c r="F137" s="143">
        <f>SUM(F138:F139)</f>
        <v>0</v>
      </c>
      <c r="G137" s="143">
        <f>SUM(G138:G139)</f>
        <v>0</v>
      </c>
      <c r="H137" s="143">
        <f>SUM(H138:H139)</f>
        <v>500</v>
      </c>
      <c r="I137" s="143">
        <f>SUM(I138:I139)</f>
        <v>0</v>
      </c>
      <c r="J137" s="143">
        <f>SUM(J138:J139)</f>
        <v>0</v>
      </c>
      <c r="K137" s="55" t="s">
        <v>480</v>
      </c>
    </row>
    <row r="138" spans="1:11" s="13" customFormat="1" ht="15" customHeight="1">
      <c r="A138" s="75" t="s">
        <v>292</v>
      </c>
      <c r="B138" s="22" t="s">
        <v>7</v>
      </c>
      <c r="C138" s="144">
        <f>SUM(D138:J138)</f>
        <v>500</v>
      </c>
      <c r="D138" s="91"/>
      <c r="E138" s="91"/>
      <c r="F138" s="146"/>
      <c r="G138" s="146"/>
      <c r="H138" s="146">
        <f>350+150</f>
        <v>500</v>
      </c>
      <c r="I138" s="146"/>
      <c r="J138" s="146"/>
      <c r="K138" s="55"/>
    </row>
    <row r="139" spans="1:11" s="13" customFormat="1" ht="15" customHeight="1">
      <c r="A139" s="75" t="s">
        <v>293</v>
      </c>
      <c r="B139" s="22" t="s">
        <v>8</v>
      </c>
      <c r="C139" s="144">
        <f>SUM(D139:J139)</f>
        <v>0</v>
      </c>
      <c r="D139" s="91"/>
      <c r="E139" s="91"/>
      <c r="F139" s="146"/>
      <c r="G139" s="146"/>
      <c r="H139" s="146"/>
      <c r="I139" s="146"/>
      <c r="J139" s="146"/>
      <c r="K139" s="55"/>
    </row>
    <row r="140" spans="1:11" s="13" customFormat="1" ht="15" customHeight="1">
      <c r="A140" s="75" t="s">
        <v>294</v>
      </c>
      <c r="B140" s="19" t="s">
        <v>9</v>
      </c>
      <c r="C140" s="144">
        <f>SUM(D140:J140)</f>
        <v>0</v>
      </c>
      <c r="D140" s="91"/>
      <c r="E140" s="91"/>
      <c r="F140" s="146"/>
      <c r="G140" s="146"/>
      <c r="H140" s="146"/>
      <c r="I140" s="146"/>
      <c r="J140" s="146"/>
      <c r="K140" s="55"/>
    </row>
    <row r="141" spans="1:11" s="21" customFormat="1" ht="15" customHeight="1">
      <c r="A141" s="75" t="s">
        <v>295</v>
      </c>
      <c r="B141" s="19" t="s">
        <v>19</v>
      </c>
      <c r="C141" s="168"/>
      <c r="D141" s="114"/>
      <c r="E141" s="114"/>
      <c r="F141" s="147"/>
      <c r="G141" s="147"/>
      <c r="H141" s="147"/>
      <c r="I141" s="147"/>
      <c r="J141" s="147"/>
      <c r="K141" s="56"/>
    </row>
    <row r="142" spans="1:11" s="13" customFormat="1" ht="15" customHeight="1">
      <c r="A142" s="75" t="s">
        <v>296</v>
      </c>
      <c r="B142" s="22" t="s">
        <v>171</v>
      </c>
      <c r="C142" s="144">
        <f>SUM(D142:J142)</f>
        <v>500</v>
      </c>
      <c r="D142" s="91"/>
      <c r="E142" s="91"/>
      <c r="F142" s="146"/>
      <c r="G142" s="146"/>
      <c r="H142" s="146">
        <f>SUM(H138:H140)</f>
        <v>500</v>
      </c>
      <c r="I142" s="146"/>
      <c r="J142" s="146"/>
      <c r="K142" s="55"/>
    </row>
    <row r="143" spans="1:11" s="13" customFormat="1" ht="15.75">
      <c r="A143" s="75"/>
      <c r="B143" s="22"/>
      <c r="C143" s="143"/>
      <c r="D143" s="83"/>
      <c r="E143" s="83"/>
      <c r="F143" s="140"/>
      <c r="G143" s="140"/>
      <c r="H143" s="140"/>
      <c r="I143" s="140"/>
      <c r="J143" s="140"/>
      <c r="K143" s="55"/>
    </row>
    <row r="144" spans="1:11" s="6" customFormat="1" ht="15" customHeight="1">
      <c r="A144" s="125"/>
      <c r="B144" s="380" t="s">
        <v>58</v>
      </c>
      <c r="C144" s="381"/>
      <c r="D144" s="381"/>
      <c r="E144" s="381"/>
      <c r="F144" s="381"/>
      <c r="G144" s="381"/>
      <c r="H144" s="381"/>
      <c r="I144" s="381"/>
      <c r="J144" s="381"/>
      <c r="K144" s="382"/>
    </row>
    <row r="145" spans="1:11" s="24" customFormat="1" ht="23.25" customHeight="1">
      <c r="A145" s="76" t="s">
        <v>297</v>
      </c>
      <c r="B145" s="26" t="s">
        <v>35</v>
      </c>
      <c r="C145" s="156">
        <f>SUM(C146:C149)</f>
        <v>2334943.2365</v>
      </c>
      <c r="D145" s="70">
        <f aca="true" t="shared" si="48" ref="D145:J145">SUM(D146:D149)</f>
        <v>364991.669</v>
      </c>
      <c r="E145" s="70">
        <f>SUM(E146:E149)</f>
        <v>311126.389</v>
      </c>
      <c r="F145" s="144">
        <f>SUM(F146:F149)</f>
        <v>336877.03650000005</v>
      </c>
      <c r="G145" s="156">
        <f t="shared" si="48"/>
        <v>320794.142</v>
      </c>
      <c r="H145" s="156">
        <f t="shared" si="48"/>
        <v>325463</v>
      </c>
      <c r="I145" s="156">
        <f t="shared" si="48"/>
        <v>336498</v>
      </c>
      <c r="J145" s="156">
        <f t="shared" si="48"/>
        <v>339193</v>
      </c>
      <c r="K145" s="50"/>
    </row>
    <row r="146" spans="1:11" s="7" customFormat="1" ht="15" customHeight="1">
      <c r="A146" s="76" t="s">
        <v>298</v>
      </c>
      <c r="B146" s="9" t="s">
        <v>7</v>
      </c>
      <c r="C146" s="156">
        <f>SUM(D146:J146)</f>
        <v>840152.9605</v>
      </c>
      <c r="D146" s="88">
        <f aca="true" t="shared" si="49" ref="D146:J146">SUM(D152+D184)</f>
        <v>163755.794</v>
      </c>
      <c r="E146" s="88">
        <f t="shared" si="49"/>
        <v>130901.93800000001</v>
      </c>
      <c r="F146" s="148">
        <f>SUM(F152+F184)</f>
        <v>102652.23650000003</v>
      </c>
      <c r="G146" s="148">
        <f>SUM(G152+G184)</f>
        <v>104079.992</v>
      </c>
      <c r="H146" s="159">
        <f t="shared" si="49"/>
        <v>107950</v>
      </c>
      <c r="I146" s="159">
        <f t="shared" si="49"/>
        <v>117110</v>
      </c>
      <c r="J146" s="159">
        <f t="shared" si="49"/>
        <v>113703</v>
      </c>
      <c r="K146" s="51"/>
    </row>
    <row r="147" spans="1:11" s="7" customFormat="1" ht="15" customHeight="1">
      <c r="A147" s="76" t="s">
        <v>299</v>
      </c>
      <c r="B147" s="9" t="s">
        <v>8</v>
      </c>
      <c r="C147" s="156">
        <f>SUM(D147:J147)</f>
        <v>7508.806</v>
      </c>
      <c r="D147" s="88">
        <f>SUM(D185)</f>
        <v>1155.675</v>
      </c>
      <c r="E147" s="88">
        <f aca="true" t="shared" si="50" ref="E147:J147">SUM(E185)</f>
        <v>2441.431</v>
      </c>
      <c r="F147" s="148">
        <f t="shared" si="50"/>
        <v>3911.7</v>
      </c>
      <c r="G147" s="159">
        <f t="shared" si="50"/>
        <v>0</v>
      </c>
      <c r="H147" s="159">
        <f t="shared" si="50"/>
        <v>0</v>
      </c>
      <c r="I147" s="159">
        <f t="shared" si="50"/>
        <v>0</v>
      </c>
      <c r="J147" s="159">
        <f t="shared" si="50"/>
        <v>0</v>
      </c>
      <c r="K147" s="51"/>
    </row>
    <row r="148" spans="1:11" s="7" customFormat="1" ht="15" customHeight="1">
      <c r="A148" s="76" t="s">
        <v>300</v>
      </c>
      <c r="B148" s="9" t="s">
        <v>9</v>
      </c>
      <c r="C148" s="156">
        <f>SUM(D148:J148)</f>
        <v>1468584.07</v>
      </c>
      <c r="D148" s="88">
        <f aca="true" t="shared" si="51" ref="D148:J148">SUM(D154+D186)</f>
        <v>195882.8</v>
      </c>
      <c r="E148" s="88">
        <f t="shared" si="51"/>
        <v>177783.02000000002</v>
      </c>
      <c r="F148" s="148">
        <f t="shared" si="51"/>
        <v>228613.1</v>
      </c>
      <c r="G148" s="159">
        <f t="shared" si="51"/>
        <v>213514.15</v>
      </c>
      <c r="H148" s="159">
        <f t="shared" si="51"/>
        <v>214313</v>
      </c>
      <c r="I148" s="159">
        <f t="shared" si="51"/>
        <v>216188</v>
      </c>
      <c r="J148" s="159">
        <f t="shared" si="51"/>
        <v>222290</v>
      </c>
      <c r="K148" s="51"/>
    </row>
    <row r="149" spans="1:11" s="7" customFormat="1" ht="15" customHeight="1">
      <c r="A149" s="76" t="s">
        <v>301</v>
      </c>
      <c r="B149" s="9" t="s">
        <v>10</v>
      </c>
      <c r="C149" s="156">
        <f>SUM(D149:J149)</f>
        <v>18697.4</v>
      </c>
      <c r="D149" s="88">
        <f>SUM(D187)</f>
        <v>4197.4</v>
      </c>
      <c r="E149" s="88">
        <f aca="true" t="shared" si="52" ref="E149:J149">SUM(E187)</f>
        <v>0</v>
      </c>
      <c r="F149" s="148">
        <f t="shared" si="52"/>
        <v>1700</v>
      </c>
      <c r="G149" s="159">
        <f t="shared" si="52"/>
        <v>3200</v>
      </c>
      <c r="H149" s="159">
        <f t="shared" si="52"/>
        <v>3200</v>
      </c>
      <c r="I149" s="159">
        <f t="shared" si="52"/>
        <v>3200</v>
      </c>
      <c r="J149" s="159">
        <f t="shared" si="52"/>
        <v>3200</v>
      </c>
      <c r="K149" s="51"/>
    </row>
    <row r="150" spans="1:11" s="7" customFormat="1" ht="15" customHeight="1">
      <c r="A150" s="126"/>
      <c r="B150" s="389" t="s">
        <v>11</v>
      </c>
      <c r="C150" s="390"/>
      <c r="D150" s="390"/>
      <c r="E150" s="390"/>
      <c r="F150" s="390"/>
      <c r="G150" s="390"/>
      <c r="H150" s="390"/>
      <c r="I150" s="390"/>
      <c r="J150" s="390"/>
      <c r="K150" s="391"/>
    </row>
    <row r="151" spans="1:11" s="24" customFormat="1" ht="33.75" customHeight="1">
      <c r="A151" s="76" t="s">
        <v>302</v>
      </c>
      <c r="B151" s="26" t="s">
        <v>13</v>
      </c>
      <c r="C151" s="156">
        <f>SUM(C152:C154)</f>
        <v>0</v>
      </c>
      <c r="D151" s="70">
        <f>SUM(D152:D154)</f>
        <v>0</v>
      </c>
      <c r="E151" s="70">
        <f aca="true" t="shared" si="53" ref="E151:J151">SUM(E152:E154)</f>
        <v>0</v>
      </c>
      <c r="F151" s="144">
        <f t="shared" si="53"/>
        <v>0</v>
      </c>
      <c r="G151" s="156">
        <f t="shared" si="53"/>
        <v>0</v>
      </c>
      <c r="H151" s="156">
        <f t="shared" si="53"/>
        <v>0</v>
      </c>
      <c r="I151" s="156">
        <f t="shared" si="53"/>
        <v>0</v>
      </c>
      <c r="J151" s="156">
        <f t="shared" si="53"/>
        <v>0</v>
      </c>
      <c r="K151" s="52"/>
    </row>
    <row r="152" spans="1:11" s="7" customFormat="1" ht="15" customHeight="1">
      <c r="A152" s="76" t="s">
        <v>303</v>
      </c>
      <c r="B152" s="9" t="s">
        <v>7</v>
      </c>
      <c r="C152" s="156">
        <f>SUM(D152:J152)</f>
        <v>0</v>
      </c>
      <c r="D152" s="88">
        <f>SUM(D158+D169)</f>
        <v>0</v>
      </c>
      <c r="E152" s="88">
        <f aca="true" t="shared" si="54" ref="E152:J152">SUM(E158+E169)</f>
        <v>0</v>
      </c>
      <c r="F152" s="148">
        <f t="shared" si="54"/>
        <v>0</v>
      </c>
      <c r="G152" s="159">
        <f t="shared" si="54"/>
        <v>0</v>
      </c>
      <c r="H152" s="159">
        <f t="shared" si="54"/>
        <v>0</v>
      </c>
      <c r="I152" s="159">
        <f t="shared" si="54"/>
        <v>0</v>
      </c>
      <c r="J152" s="159">
        <f t="shared" si="54"/>
        <v>0</v>
      </c>
      <c r="K152" s="51"/>
    </row>
    <row r="153" spans="1:11" s="7" customFormat="1" ht="15" customHeight="1">
      <c r="A153" s="76" t="s">
        <v>304</v>
      </c>
      <c r="B153" s="9" t="s">
        <v>8</v>
      </c>
      <c r="C153" s="156">
        <f>SUM(D153:J153)</f>
        <v>0</v>
      </c>
      <c r="D153" s="88"/>
      <c r="E153" s="88"/>
      <c r="F153" s="148"/>
      <c r="G153" s="159"/>
      <c r="H153" s="159"/>
      <c r="I153" s="159"/>
      <c r="J153" s="159"/>
      <c r="K153" s="51"/>
    </row>
    <row r="154" spans="1:11" s="7" customFormat="1" ht="15" customHeight="1">
      <c r="A154" s="76" t="s">
        <v>477</v>
      </c>
      <c r="B154" s="9" t="s">
        <v>9</v>
      </c>
      <c r="C154" s="156">
        <f>SUM(D154:J154)</f>
        <v>0</v>
      </c>
      <c r="D154" s="88">
        <f aca="true" t="shared" si="55" ref="D154:J154">SUM(D160+D170)</f>
        <v>0</v>
      </c>
      <c r="E154" s="88">
        <f t="shared" si="55"/>
        <v>0</v>
      </c>
      <c r="F154" s="148">
        <f>SUM(F160+F170)</f>
        <v>0</v>
      </c>
      <c r="G154" s="159">
        <f t="shared" si="55"/>
        <v>0</v>
      </c>
      <c r="H154" s="159">
        <f t="shared" si="55"/>
        <v>0</v>
      </c>
      <c r="I154" s="159">
        <f t="shared" si="55"/>
        <v>0</v>
      </c>
      <c r="J154" s="159">
        <f t="shared" si="55"/>
        <v>0</v>
      </c>
      <c r="K154" s="51"/>
    </row>
    <row r="155" spans="1:11" s="7" customFormat="1" ht="15" customHeight="1">
      <c r="A155" s="76"/>
      <c r="B155" s="9"/>
      <c r="C155" s="156"/>
      <c r="D155" s="89"/>
      <c r="E155" s="89"/>
      <c r="F155" s="149"/>
      <c r="G155" s="157"/>
      <c r="H155" s="157"/>
      <c r="I155" s="157"/>
      <c r="J155" s="157"/>
      <c r="K155" s="51"/>
    </row>
    <row r="156" spans="1:11" s="7" customFormat="1" ht="15" customHeight="1">
      <c r="A156" s="127"/>
      <c r="B156" s="386" t="s">
        <v>12</v>
      </c>
      <c r="C156" s="387"/>
      <c r="D156" s="387"/>
      <c r="E156" s="387"/>
      <c r="F156" s="387"/>
      <c r="G156" s="387"/>
      <c r="H156" s="387"/>
      <c r="I156" s="387"/>
      <c r="J156" s="387"/>
      <c r="K156" s="388"/>
    </row>
    <row r="157" spans="1:11" s="25" customFormat="1" ht="45.75" customHeight="1">
      <c r="A157" s="72" t="s">
        <v>305</v>
      </c>
      <c r="B157" s="27" t="s">
        <v>99</v>
      </c>
      <c r="C157" s="144">
        <f>SUM(C158:C161)</f>
        <v>0</v>
      </c>
      <c r="D157" s="90">
        <f>SUM(D158:D160)</f>
        <v>0</v>
      </c>
      <c r="E157" s="90">
        <f aca="true" t="shared" si="56" ref="E157:J157">SUM(E158:E160)</f>
        <v>0</v>
      </c>
      <c r="F157" s="144">
        <f t="shared" si="56"/>
        <v>0</v>
      </c>
      <c r="G157" s="144">
        <f t="shared" si="56"/>
        <v>0</v>
      </c>
      <c r="H157" s="144">
        <f t="shared" si="56"/>
        <v>0</v>
      </c>
      <c r="I157" s="144">
        <f t="shared" si="56"/>
        <v>0</v>
      </c>
      <c r="J157" s="144">
        <f t="shared" si="56"/>
        <v>0</v>
      </c>
      <c r="K157" s="55"/>
    </row>
    <row r="158" spans="1:11" s="13" customFormat="1" ht="15" customHeight="1">
      <c r="A158" s="72" t="s">
        <v>306</v>
      </c>
      <c r="B158" s="22" t="s">
        <v>7</v>
      </c>
      <c r="C158" s="144">
        <f>SUM(D158:J158)</f>
        <v>0</v>
      </c>
      <c r="D158" s="118">
        <f>SUM(D163)</f>
        <v>0</v>
      </c>
      <c r="E158" s="118">
        <f aca="true" t="shared" si="57" ref="E158:J158">SUM(E163)</f>
        <v>0</v>
      </c>
      <c r="F158" s="145">
        <f t="shared" si="57"/>
        <v>0</v>
      </c>
      <c r="G158" s="145">
        <f t="shared" si="57"/>
        <v>0</v>
      </c>
      <c r="H158" s="145">
        <f t="shared" si="57"/>
        <v>0</v>
      </c>
      <c r="I158" s="145">
        <f t="shared" si="57"/>
        <v>0</v>
      </c>
      <c r="J158" s="145">
        <f t="shared" si="57"/>
        <v>0</v>
      </c>
      <c r="K158" s="55"/>
    </row>
    <row r="159" spans="1:11" s="13" customFormat="1" ht="15" customHeight="1">
      <c r="A159" s="72" t="s">
        <v>307</v>
      </c>
      <c r="B159" s="22" t="s">
        <v>8</v>
      </c>
      <c r="C159" s="144">
        <f>SUM(D159:J159)</f>
        <v>0</v>
      </c>
      <c r="D159" s="118">
        <f>SUM(D164)</f>
        <v>0</v>
      </c>
      <c r="E159" s="118">
        <f aca="true" t="shared" si="58" ref="E159:J159">SUM(E164)</f>
        <v>0</v>
      </c>
      <c r="F159" s="145">
        <f t="shared" si="58"/>
        <v>0</v>
      </c>
      <c r="G159" s="145">
        <f t="shared" si="58"/>
        <v>0</v>
      </c>
      <c r="H159" s="145">
        <f t="shared" si="58"/>
        <v>0</v>
      </c>
      <c r="I159" s="145">
        <f t="shared" si="58"/>
        <v>0</v>
      </c>
      <c r="J159" s="145">
        <f t="shared" si="58"/>
        <v>0</v>
      </c>
      <c r="K159" s="55"/>
    </row>
    <row r="160" spans="1:11" s="13" customFormat="1" ht="15" customHeight="1">
      <c r="A160" s="72" t="s">
        <v>308</v>
      </c>
      <c r="B160" s="22" t="s">
        <v>9</v>
      </c>
      <c r="C160" s="144">
        <f>SUM(D160:J160)</f>
        <v>0</v>
      </c>
      <c r="D160" s="118">
        <f aca="true" t="shared" si="59" ref="D160:J160">SUM(D165)</f>
        <v>0</v>
      </c>
      <c r="E160" s="118">
        <f t="shared" si="59"/>
        <v>0</v>
      </c>
      <c r="F160" s="145">
        <f t="shared" si="59"/>
        <v>0</v>
      </c>
      <c r="G160" s="145">
        <f t="shared" si="59"/>
        <v>0</v>
      </c>
      <c r="H160" s="145">
        <f t="shared" si="59"/>
        <v>0</v>
      </c>
      <c r="I160" s="145">
        <f t="shared" si="59"/>
        <v>0</v>
      </c>
      <c r="J160" s="145">
        <f t="shared" si="59"/>
        <v>0</v>
      </c>
      <c r="K160" s="55"/>
    </row>
    <row r="161" spans="1:11" s="13" customFormat="1" ht="15" customHeight="1">
      <c r="A161" s="72"/>
      <c r="B161" s="22"/>
      <c r="C161" s="144"/>
      <c r="D161" s="69"/>
      <c r="E161" s="69"/>
      <c r="F161" s="149"/>
      <c r="G161" s="149"/>
      <c r="H161" s="149"/>
      <c r="I161" s="149"/>
      <c r="J161" s="149"/>
      <c r="K161" s="55"/>
    </row>
    <row r="162" spans="1:11" s="13" customFormat="1" ht="50.25" customHeight="1">
      <c r="A162" s="72" t="s">
        <v>309</v>
      </c>
      <c r="B162" s="27" t="s">
        <v>130</v>
      </c>
      <c r="C162" s="144">
        <f>SUM(C163:C166)</f>
        <v>0</v>
      </c>
      <c r="D162" s="90">
        <f>SUM(D163:D165)</f>
        <v>0</v>
      </c>
      <c r="E162" s="90">
        <f aca="true" t="shared" si="60" ref="E162:J162">SUM(E163:E165)</f>
        <v>0</v>
      </c>
      <c r="F162" s="144">
        <f t="shared" si="60"/>
        <v>0</v>
      </c>
      <c r="G162" s="144">
        <f t="shared" si="60"/>
        <v>0</v>
      </c>
      <c r="H162" s="144">
        <f t="shared" si="60"/>
        <v>0</v>
      </c>
      <c r="I162" s="144">
        <f t="shared" si="60"/>
        <v>0</v>
      </c>
      <c r="J162" s="144">
        <f t="shared" si="60"/>
        <v>0</v>
      </c>
      <c r="K162" s="55" t="s">
        <v>182</v>
      </c>
    </row>
    <row r="163" spans="1:11" s="13" customFormat="1" ht="15" customHeight="1">
      <c r="A163" s="72" t="s">
        <v>310</v>
      </c>
      <c r="B163" s="22" t="s">
        <v>7</v>
      </c>
      <c r="C163" s="144">
        <f>SUM(D163:J163)</f>
        <v>0</v>
      </c>
      <c r="D163" s="83"/>
      <c r="E163" s="83"/>
      <c r="F163" s="140"/>
      <c r="G163" s="140"/>
      <c r="H163" s="140"/>
      <c r="I163" s="140"/>
      <c r="J163" s="140"/>
      <c r="K163" s="55"/>
    </row>
    <row r="164" spans="1:11" s="13" customFormat="1" ht="15" customHeight="1">
      <c r="A164" s="72" t="s">
        <v>311</v>
      </c>
      <c r="B164" s="22" t="s">
        <v>8</v>
      </c>
      <c r="C164" s="144">
        <f>SUM(D164:J164)</f>
        <v>0</v>
      </c>
      <c r="D164" s="83"/>
      <c r="E164" s="83"/>
      <c r="F164" s="140"/>
      <c r="G164" s="140"/>
      <c r="H164" s="140"/>
      <c r="I164" s="140"/>
      <c r="J164" s="140"/>
      <c r="K164" s="55"/>
    </row>
    <row r="165" spans="1:11" s="13" customFormat="1" ht="15" customHeight="1">
      <c r="A165" s="72" t="s">
        <v>312</v>
      </c>
      <c r="B165" s="22" t="s">
        <v>9</v>
      </c>
      <c r="C165" s="144">
        <f>SUM(D165:J165)</f>
        <v>0</v>
      </c>
      <c r="D165" s="83"/>
      <c r="E165" s="83"/>
      <c r="F165" s="140"/>
      <c r="G165" s="140"/>
      <c r="H165" s="140"/>
      <c r="I165" s="140"/>
      <c r="J165" s="140"/>
      <c r="K165" s="55"/>
    </row>
    <row r="166" spans="1:11" s="7" customFormat="1" ht="15" customHeight="1">
      <c r="A166" s="76"/>
      <c r="B166" s="9"/>
      <c r="C166" s="156"/>
      <c r="D166" s="89"/>
      <c r="E166" s="89"/>
      <c r="F166" s="149"/>
      <c r="G166" s="157"/>
      <c r="H166" s="157"/>
      <c r="I166" s="157"/>
      <c r="J166" s="157"/>
      <c r="K166" s="51"/>
    </row>
    <row r="167" spans="1:11" s="7" customFormat="1" ht="15" customHeight="1">
      <c r="A167" s="127"/>
      <c r="B167" s="386" t="s">
        <v>23</v>
      </c>
      <c r="C167" s="387"/>
      <c r="D167" s="387"/>
      <c r="E167" s="387"/>
      <c r="F167" s="387"/>
      <c r="G167" s="387"/>
      <c r="H167" s="387"/>
      <c r="I167" s="387"/>
      <c r="J167" s="387"/>
      <c r="K167" s="388"/>
    </row>
    <row r="168" spans="1:11" s="25" customFormat="1" ht="31.5">
      <c r="A168" s="72" t="s">
        <v>313</v>
      </c>
      <c r="B168" s="27" t="s">
        <v>100</v>
      </c>
      <c r="C168" s="144">
        <f aca="true" t="shared" si="61" ref="C168:J168">SUM(C169:C170)</f>
        <v>0</v>
      </c>
      <c r="D168" s="85">
        <f t="shared" si="61"/>
        <v>0</v>
      </c>
      <c r="E168" s="85">
        <f t="shared" si="61"/>
        <v>0</v>
      </c>
      <c r="F168" s="143">
        <f t="shared" si="61"/>
        <v>0</v>
      </c>
      <c r="G168" s="143">
        <f t="shared" si="61"/>
        <v>0</v>
      </c>
      <c r="H168" s="143">
        <f t="shared" si="61"/>
        <v>0</v>
      </c>
      <c r="I168" s="143">
        <f t="shared" si="61"/>
        <v>0</v>
      </c>
      <c r="J168" s="143">
        <f t="shared" si="61"/>
        <v>0</v>
      </c>
      <c r="K168" s="54"/>
    </row>
    <row r="169" spans="1:11" s="13" customFormat="1" ht="15" customHeight="1">
      <c r="A169" s="72" t="s">
        <v>314</v>
      </c>
      <c r="B169" s="9" t="s">
        <v>7</v>
      </c>
      <c r="C169" s="144">
        <f>SUM(D169:J169)</f>
        <v>0</v>
      </c>
      <c r="D169" s="91">
        <f>SUM(D173)</f>
        <v>0</v>
      </c>
      <c r="E169" s="91">
        <f aca="true" t="shared" si="62" ref="E169:J169">SUM(E173)</f>
        <v>0</v>
      </c>
      <c r="F169" s="146">
        <f t="shared" si="62"/>
        <v>0</v>
      </c>
      <c r="G169" s="146">
        <f t="shared" si="62"/>
        <v>0</v>
      </c>
      <c r="H169" s="146">
        <f t="shared" si="62"/>
        <v>0</v>
      </c>
      <c r="I169" s="146">
        <f t="shared" si="62"/>
        <v>0</v>
      </c>
      <c r="J169" s="146">
        <f t="shared" si="62"/>
        <v>0</v>
      </c>
      <c r="K169" s="55"/>
    </row>
    <row r="170" spans="1:11" s="13" customFormat="1" ht="15" customHeight="1">
      <c r="A170" s="72" t="s">
        <v>315</v>
      </c>
      <c r="B170" s="9" t="s">
        <v>9</v>
      </c>
      <c r="C170" s="144">
        <f>SUM(D170:J170)</f>
        <v>0</v>
      </c>
      <c r="D170" s="91">
        <f>SUM(D174)</f>
        <v>0</v>
      </c>
      <c r="E170" s="91">
        <f aca="true" t="shared" si="63" ref="E170:J170">SUM(E174)</f>
        <v>0</v>
      </c>
      <c r="F170" s="146">
        <f t="shared" si="63"/>
        <v>0</v>
      </c>
      <c r="G170" s="146">
        <f t="shared" si="63"/>
        <v>0</v>
      </c>
      <c r="H170" s="146">
        <f t="shared" si="63"/>
        <v>0</v>
      </c>
      <c r="I170" s="146">
        <f t="shared" si="63"/>
        <v>0</v>
      </c>
      <c r="J170" s="146">
        <f t="shared" si="63"/>
        <v>0</v>
      </c>
      <c r="K170" s="55"/>
    </row>
    <row r="171" spans="1:11" s="7" customFormat="1" ht="15" customHeight="1">
      <c r="A171" s="76"/>
      <c r="B171" s="9"/>
      <c r="C171" s="156"/>
      <c r="D171" s="89"/>
      <c r="E171" s="89"/>
      <c r="F171" s="149"/>
      <c r="G171" s="157"/>
      <c r="H171" s="157"/>
      <c r="I171" s="157"/>
      <c r="J171" s="157"/>
      <c r="K171" s="51"/>
    </row>
    <row r="172" spans="1:11" s="13" customFormat="1" ht="81" customHeight="1">
      <c r="A172" s="75" t="s">
        <v>316</v>
      </c>
      <c r="B172" s="176" t="s">
        <v>131</v>
      </c>
      <c r="C172" s="144">
        <f>SUM(D172:J172)</f>
        <v>0</v>
      </c>
      <c r="D172" s="85">
        <f aca="true" t="shared" si="64" ref="D172:J172">SUM(D173:D174)</f>
        <v>0</v>
      </c>
      <c r="E172" s="85">
        <f t="shared" si="64"/>
        <v>0</v>
      </c>
      <c r="F172" s="143">
        <f t="shared" si="64"/>
        <v>0</v>
      </c>
      <c r="G172" s="143">
        <f t="shared" si="64"/>
        <v>0</v>
      </c>
      <c r="H172" s="143">
        <f t="shared" si="64"/>
        <v>0</v>
      </c>
      <c r="I172" s="143">
        <f t="shared" si="64"/>
        <v>0</v>
      </c>
      <c r="J172" s="143">
        <f t="shared" si="64"/>
        <v>0</v>
      </c>
      <c r="K172" s="55" t="s">
        <v>182</v>
      </c>
    </row>
    <row r="173" spans="1:11" s="13" customFormat="1" ht="15" customHeight="1">
      <c r="A173" s="75" t="s">
        <v>317</v>
      </c>
      <c r="B173" s="22" t="s">
        <v>7</v>
      </c>
      <c r="C173" s="144">
        <f>SUM(D173:J173)</f>
        <v>0</v>
      </c>
      <c r="D173" s="85">
        <f>SUM(D176+D179)</f>
        <v>0</v>
      </c>
      <c r="E173" s="85">
        <f aca="true" t="shared" si="65" ref="E173:J173">SUM(E176+E179)</f>
        <v>0</v>
      </c>
      <c r="F173" s="143">
        <f t="shared" si="65"/>
        <v>0</v>
      </c>
      <c r="G173" s="143">
        <f t="shared" si="65"/>
        <v>0</v>
      </c>
      <c r="H173" s="143">
        <f t="shared" si="65"/>
        <v>0</v>
      </c>
      <c r="I173" s="143">
        <f t="shared" si="65"/>
        <v>0</v>
      </c>
      <c r="J173" s="143">
        <f t="shared" si="65"/>
        <v>0</v>
      </c>
      <c r="K173" s="55"/>
    </row>
    <row r="174" spans="1:11" s="13" customFormat="1" ht="15" customHeight="1">
      <c r="A174" s="75" t="s">
        <v>318</v>
      </c>
      <c r="B174" s="22" t="s">
        <v>9</v>
      </c>
      <c r="C174" s="144">
        <f>SUM(D174:J174)</f>
        <v>0</v>
      </c>
      <c r="D174" s="85">
        <f>SUM(D177+D180)</f>
        <v>0</v>
      </c>
      <c r="E174" s="85">
        <f aca="true" t="shared" si="66" ref="E174:J174">SUM(E177+E180)</f>
        <v>0</v>
      </c>
      <c r="F174" s="143">
        <f t="shared" si="66"/>
        <v>0</v>
      </c>
      <c r="G174" s="143">
        <f t="shared" si="66"/>
        <v>0</v>
      </c>
      <c r="H174" s="143">
        <f t="shared" si="66"/>
        <v>0</v>
      </c>
      <c r="I174" s="143">
        <f t="shared" si="66"/>
        <v>0</v>
      </c>
      <c r="J174" s="143">
        <f t="shared" si="66"/>
        <v>0</v>
      </c>
      <c r="K174" s="55"/>
    </row>
    <row r="175" spans="1:11" s="13" customFormat="1" ht="15" customHeight="1">
      <c r="A175" s="75"/>
      <c r="B175" s="179" t="s">
        <v>110</v>
      </c>
      <c r="C175" s="144"/>
      <c r="D175" s="68"/>
      <c r="E175" s="68"/>
      <c r="F175" s="148"/>
      <c r="G175" s="148"/>
      <c r="H175" s="148"/>
      <c r="I175" s="148"/>
      <c r="J175" s="148"/>
      <c r="K175" s="55"/>
    </row>
    <row r="176" spans="1:11" s="13" customFormat="1" ht="15" customHeight="1">
      <c r="A176" s="75" t="s">
        <v>319</v>
      </c>
      <c r="B176" s="22" t="s">
        <v>7</v>
      </c>
      <c r="C176" s="144">
        <f>SUM(D176:J176)</f>
        <v>0</v>
      </c>
      <c r="D176" s="68"/>
      <c r="E176" s="68"/>
      <c r="F176" s="148"/>
      <c r="G176" s="148"/>
      <c r="H176" s="148"/>
      <c r="I176" s="148"/>
      <c r="J176" s="148"/>
      <c r="K176" s="55"/>
    </row>
    <row r="177" spans="1:11" s="13" customFormat="1" ht="15" customHeight="1">
      <c r="A177" s="75" t="s">
        <v>320</v>
      </c>
      <c r="B177" s="22" t="s">
        <v>9</v>
      </c>
      <c r="C177" s="144">
        <f>SUM(D177:J177)</f>
        <v>0</v>
      </c>
      <c r="D177" s="68"/>
      <c r="E177" s="68"/>
      <c r="F177" s="148"/>
      <c r="G177" s="148"/>
      <c r="H177" s="148"/>
      <c r="I177" s="148"/>
      <c r="J177" s="148"/>
      <c r="K177" s="55"/>
    </row>
    <row r="178" spans="1:11" s="13" customFormat="1" ht="35.25" customHeight="1">
      <c r="A178" s="75"/>
      <c r="B178" s="179" t="s">
        <v>111</v>
      </c>
      <c r="C178" s="144"/>
      <c r="D178" s="68"/>
      <c r="E178" s="68"/>
      <c r="F178" s="148"/>
      <c r="G178" s="148"/>
      <c r="H178" s="148"/>
      <c r="I178" s="148"/>
      <c r="J178" s="148"/>
      <c r="K178" s="55"/>
    </row>
    <row r="179" spans="1:11" s="13" customFormat="1" ht="15" customHeight="1">
      <c r="A179" s="75" t="s">
        <v>321</v>
      </c>
      <c r="B179" s="22" t="s">
        <v>7</v>
      </c>
      <c r="C179" s="144">
        <f>SUM(D179:J179)</f>
        <v>0</v>
      </c>
      <c r="D179" s="68"/>
      <c r="E179" s="68"/>
      <c r="F179" s="148"/>
      <c r="G179" s="148"/>
      <c r="H179" s="148"/>
      <c r="I179" s="148"/>
      <c r="J179" s="148"/>
      <c r="K179" s="55"/>
    </row>
    <row r="180" spans="1:11" s="13" customFormat="1" ht="15" customHeight="1">
      <c r="A180" s="75" t="s">
        <v>322</v>
      </c>
      <c r="B180" s="22" t="s">
        <v>9</v>
      </c>
      <c r="C180" s="144">
        <f>SUM(D180:J180)</f>
        <v>0</v>
      </c>
      <c r="D180" s="68"/>
      <c r="E180" s="68"/>
      <c r="F180" s="148"/>
      <c r="G180" s="148"/>
      <c r="H180" s="148"/>
      <c r="I180" s="148"/>
      <c r="J180" s="148"/>
      <c r="K180" s="55"/>
    </row>
    <row r="181" spans="1:11" s="7" customFormat="1" ht="15" customHeight="1">
      <c r="A181" s="76"/>
      <c r="B181" s="9"/>
      <c r="C181" s="153"/>
      <c r="D181" s="115"/>
      <c r="E181" s="115"/>
      <c r="F181" s="146"/>
      <c r="G181" s="160"/>
      <c r="H181" s="160"/>
      <c r="I181" s="160"/>
      <c r="J181" s="160"/>
      <c r="K181" s="51"/>
    </row>
    <row r="182" spans="1:11" s="7" customFormat="1" ht="15" customHeight="1">
      <c r="A182" s="126"/>
      <c r="B182" s="389" t="s">
        <v>15</v>
      </c>
      <c r="C182" s="390"/>
      <c r="D182" s="390"/>
      <c r="E182" s="390"/>
      <c r="F182" s="390"/>
      <c r="G182" s="390"/>
      <c r="H182" s="390"/>
      <c r="I182" s="390"/>
      <c r="J182" s="390"/>
      <c r="K182" s="391"/>
    </row>
    <row r="183" spans="1:11" s="24" customFormat="1" ht="22.5" customHeight="1">
      <c r="A183" s="76" t="s">
        <v>323</v>
      </c>
      <c r="B183" s="26" t="s">
        <v>16</v>
      </c>
      <c r="C183" s="156">
        <f>SUM(D183:J183)</f>
        <v>2334943.2365</v>
      </c>
      <c r="D183" s="90">
        <f>SUM(D184:D187)</f>
        <v>364991.669</v>
      </c>
      <c r="E183" s="90">
        <f aca="true" t="shared" si="67" ref="E183:J183">SUM(E184:E187)</f>
        <v>311126.389</v>
      </c>
      <c r="F183" s="144">
        <f>SUM(F184:F187)</f>
        <v>336877.03650000005</v>
      </c>
      <c r="G183" s="156">
        <f t="shared" si="67"/>
        <v>320794.142</v>
      </c>
      <c r="H183" s="156">
        <f t="shared" si="67"/>
        <v>325463</v>
      </c>
      <c r="I183" s="156">
        <f t="shared" si="67"/>
        <v>336498</v>
      </c>
      <c r="J183" s="156">
        <f t="shared" si="67"/>
        <v>339193</v>
      </c>
      <c r="K183" s="50"/>
    </row>
    <row r="184" spans="1:11" s="7" customFormat="1" ht="15" customHeight="1">
      <c r="A184" s="76" t="s">
        <v>324</v>
      </c>
      <c r="B184" s="9" t="s">
        <v>7</v>
      </c>
      <c r="C184" s="156">
        <f>SUM(D184:J184)</f>
        <v>840152.9605</v>
      </c>
      <c r="D184" s="69">
        <f>SUM(D190+D201+D230+D241+D245+D260+D271+D275+D276+D283+D291)</f>
        <v>163755.794</v>
      </c>
      <c r="E184" s="69">
        <f>SUM(E190+E201+E230+E241+E245+E260+E271+E275+E276+E283+E291)</f>
        <v>130901.93800000001</v>
      </c>
      <c r="F184" s="149">
        <f>SUM(F190+F201+F230+F241+F245+F260+F271+F275+F276+F283+F284+F291)</f>
        <v>102652.23650000003</v>
      </c>
      <c r="G184" s="149">
        <f>SUM(G190+G201+G230+G241+G245+G260+G271+G275+G276+G283+G284+G291)</f>
        <v>104079.992</v>
      </c>
      <c r="H184" s="149">
        <f>SUM(H190+H201+H230+H241+H245+H260+H271+H275+H276+H283+H291)</f>
        <v>107950</v>
      </c>
      <c r="I184" s="149">
        <f>SUM(I190+I201+I230+I241+I245+I260+I271+I275+I276+I283+I291)</f>
        <v>117110</v>
      </c>
      <c r="J184" s="149">
        <f>SUM(J190+J201+J230+J241+J245+J260+J271+J275+J276+J283+J291)</f>
        <v>113703</v>
      </c>
      <c r="K184" s="57"/>
    </row>
    <row r="185" spans="1:11" s="7" customFormat="1" ht="15" customHeight="1">
      <c r="A185" s="76" t="s">
        <v>325</v>
      </c>
      <c r="B185" s="9" t="s">
        <v>8</v>
      </c>
      <c r="C185" s="156">
        <f>SUM(D185:J185)</f>
        <v>7508.806</v>
      </c>
      <c r="D185" s="69">
        <f aca="true" t="shared" si="68" ref="D185:J185">SUM(D231+D262+D293)</f>
        <v>1155.675</v>
      </c>
      <c r="E185" s="69">
        <f t="shared" si="68"/>
        <v>2441.431</v>
      </c>
      <c r="F185" s="149">
        <f t="shared" si="68"/>
        <v>3911.7</v>
      </c>
      <c r="G185" s="149">
        <f t="shared" si="68"/>
        <v>0</v>
      </c>
      <c r="H185" s="149">
        <f t="shared" si="68"/>
        <v>0</v>
      </c>
      <c r="I185" s="149">
        <f t="shared" si="68"/>
        <v>0</v>
      </c>
      <c r="J185" s="149">
        <f t="shared" si="68"/>
        <v>0</v>
      </c>
      <c r="K185" s="51"/>
    </row>
    <row r="186" spans="1:11" s="7" customFormat="1" ht="15" customHeight="1">
      <c r="A186" s="76" t="s">
        <v>326</v>
      </c>
      <c r="B186" s="9" t="s">
        <v>9</v>
      </c>
      <c r="C186" s="156">
        <f>SUM(D186:J186)</f>
        <v>1468584.07</v>
      </c>
      <c r="D186" s="69">
        <f aca="true" t="shared" si="69" ref="D186:J186">SUM(D191+D202+D232+D238+D252+D257+D261+D272+D277+D285+D292)</f>
        <v>195882.8</v>
      </c>
      <c r="E186" s="69">
        <f t="shared" si="69"/>
        <v>177783.02000000002</v>
      </c>
      <c r="F186" s="149">
        <f t="shared" si="69"/>
        <v>228613.1</v>
      </c>
      <c r="G186" s="149">
        <f t="shared" si="69"/>
        <v>213514.15</v>
      </c>
      <c r="H186" s="149">
        <f t="shared" si="69"/>
        <v>214313</v>
      </c>
      <c r="I186" s="149">
        <f t="shared" si="69"/>
        <v>216188</v>
      </c>
      <c r="J186" s="149">
        <f t="shared" si="69"/>
        <v>222290</v>
      </c>
      <c r="K186" s="51"/>
    </row>
    <row r="187" spans="1:11" s="7" customFormat="1" ht="15" customHeight="1">
      <c r="A187" s="76" t="s">
        <v>327</v>
      </c>
      <c r="B187" s="11" t="s">
        <v>10</v>
      </c>
      <c r="C187" s="156">
        <f>SUM(D187:J187)</f>
        <v>18697.4</v>
      </c>
      <c r="D187" s="69">
        <f>SUM(D242+D249)</f>
        <v>4197.4</v>
      </c>
      <c r="E187" s="69">
        <f aca="true" t="shared" si="70" ref="E187:J187">SUM(E242+E249)</f>
        <v>0</v>
      </c>
      <c r="F187" s="149">
        <f t="shared" si="70"/>
        <v>1700</v>
      </c>
      <c r="G187" s="149">
        <f t="shared" si="70"/>
        <v>3200</v>
      </c>
      <c r="H187" s="149">
        <f t="shared" si="70"/>
        <v>3200</v>
      </c>
      <c r="I187" s="149">
        <f t="shared" si="70"/>
        <v>3200</v>
      </c>
      <c r="J187" s="149">
        <f t="shared" si="70"/>
        <v>3200</v>
      </c>
      <c r="K187" s="51"/>
    </row>
    <row r="188" spans="1:11" s="7" customFormat="1" ht="15" customHeight="1">
      <c r="A188" s="76"/>
      <c r="B188" s="11"/>
      <c r="C188" s="156"/>
      <c r="D188" s="68"/>
      <c r="E188" s="68"/>
      <c r="F188" s="148"/>
      <c r="G188" s="159"/>
      <c r="H188" s="159"/>
      <c r="I188" s="159"/>
      <c r="J188" s="159"/>
      <c r="K188" s="51"/>
    </row>
    <row r="189" spans="1:11" s="25" customFormat="1" ht="50.25" customHeight="1">
      <c r="A189" s="75" t="s">
        <v>328</v>
      </c>
      <c r="B189" s="27" t="s">
        <v>132</v>
      </c>
      <c r="C189" s="143">
        <f>SUM(C190:C191)</f>
        <v>11813.233</v>
      </c>
      <c r="D189" s="85">
        <f>SUM(D190:D191)</f>
        <v>0</v>
      </c>
      <c r="E189" s="85">
        <f aca="true" t="shared" si="71" ref="E189:J189">SUM(E190:E191)</f>
        <v>0</v>
      </c>
      <c r="F189" s="143">
        <f t="shared" si="71"/>
        <v>970.378</v>
      </c>
      <c r="G189" s="143">
        <f t="shared" si="71"/>
        <v>1842.855</v>
      </c>
      <c r="H189" s="143">
        <f t="shared" si="71"/>
        <v>4000</v>
      </c>
      <c r="I189" s="143">
        <f t="shared" si="71"/>
        <v>0</v>
      </c>
      <c r="J189" s="143">
        <f t="shared" si="71"/>
        <v>5000</v>
      </c>
      <c r="K189" s="55" t="s">
        <v>189</v>
      </c>
    </row>
    <row r="190" spans="1:11" s="13" customFormat="1" ht="15" customHeight="1">
      <c r="A190" s="75" t="s">
        <v>329</v>
      </c>
      <c r="B190" s="22" t="s">
        <v>7</v>
      </c>
      <c r="C190" s="144">
        <f>SUM(D190:J190)</f>
        <v>11813.233</v>
      </c>
      <c r="D190" s="91">
        <f aca="true" t="shared" si="72" ref="D190:J190">SUM(D193:D198)</f>
        <v>0</v>
      </c>
      <c r="E190" s="91">
        <f t="shared" si="72"/>
        <v>0</v>
      </c>
      <c r="F190" s="146">
        <f t="shared" si="72"/>
        <v>970.378</v>
      </c>
      <c r="G190" s="146">
        <f t="shared" si="72"/>
        <v>1842.855</v>
      </c>
      <c r="H190" s="146">
        <f t="shared" si="72"/>
        <v>4000</v>
      </c>
      <c r="I190" s="146">
        <f t="shared" si="72"/>
        <v>0</v>
      </c>
      <c r="J190" s="146">
        <f t="shared" si="72"/>
        <v>5000</v>
      </c>
      <c r="K190" s="55"/>
    </row>
    <row r="191" spans="1:11" s="13" customFormat="1" ht="15" customHeight="1">
      <c r="A191" s="75" t="s">
        <v>330</v>
      </c>
      <c r="B191" s="22" t="s">
        <v>9</v>
      </c>
      <c r="C191" s="144">
        <f aca="true" t="shared" si="73" ref="C191:C198">SUM(D191:J191)</f>
        <v>0</v>
      </c>
      <c r="D191" s="91"/>
      <c r="E191" s="91"/>
      <c r="F191" s="146"/>
      <c r="G191" s="146"/>
      <c r="H191" s="146"/>
      <c r="I191" s="146"/>
      <c r="J191" s="146"/>
      <c r="K191" s="55"/>
    </row>
    <row r="192" spans="1:11" s="21" customFormat="1" ht="15" customHeight="1">
      <c r="A192" s="72"/>
      <c r="B192" s="19" t="s">
        <v>19</v>
      </c>
      <c r="C192" s="144"/>
      <c r="D192" s="114"/>
      <c r="E192" s="114"/>
      <c r="F192" s="147"/>
      <c r="G192" s="147"/>
      <c r="H192" s="147"/>
      <c r="I192" s="147"/>
      <c r="J192" s="147"/>
      <c r="K192" s="56"/>
    </row>
    <row r="193" spans="1:11" s="13" customFormat="1" ht="15" customHeight="1">
      <c r="A193" s="72" t="s">
        <v>331</v>
      </c>
      <c r="B193" s="22" t="s">
        <v>74</v>
      </c>
      <c r="C193" s="144">
        <f>SUM(D193:J193)</f>
        <v>950</v>
      </c>
      <c r="D193" s="91"/>
      <c r="E193" s="91"/>
      <c r="F193" s="146"/>
      <c r="G193" s="146">
        <f>1500-550</f>
        <v>950</v>
      </c>
      <c r="H193" s="146"/>
      <c r="I193" s="146"/>
      <c r="J193" s="146"/>
      <c r="K193" s="55"/>
    </row>
    <row r="194" spans="1:11" s="13" customFormat="1" ht="15" customHeight="1">
      <c r="A194" s="72" t="s">
        <v>332</v>
      </c>
      <c r="B194" s="22" t="s">
        <v>28</v>
      </c>
      <c r="C194" s="144">
        <f>SUM(D194:J194)</f>
        <v>1863.2330000000002</v>
      </c>
      <c r="D194" s="91"/>
      <c r="E194" s="91"/>
      <c r="F194" s="146">
        <f>970.378</f>
        <v>970.378</v>
      </c>
      <c r="G194" s="146">
        <v>892.855</v>
      </c>
      <c r="H194" s="146"/>
      <c r="I194" s="146"/>
      <c r="J194" s="146"/>
      <c r="K194" s="55"/>
    </row>
    <row r="195" spans="1:11" s="13" customFormat="1" ht="15" customHeight="1">
      <c r="A195" s="72" t="s">
        <v>333</v>
      </c>
      <c r="B195" s="22" t="s">
        <v>29</v>
      </c>
      <c r="C195" s="144">
        <f t="shared" si="73"/>
        <v>4000</v>
      </c>
      <c r="D195" s="91"/>
      <c r="E195" s="91"/>
      <c r="F195" s="146"/>
      <c r="G195" s="146"/>
      <c r="H195" s="146">
        <v>4000</v>
      </c>
      <c r="I195" s="146"/>
      <c r="J195" s="146"/>
      <c r="K195" s="55"/>
    </row>
    <row r="196" spans="1:11" s="13" customFormat="1" ht="15" customHeight="1">
      <c r="A196" s="72" t="s">
        <v>334</v>
      </c>
      <c r="B196" s="22" t="s">
        <v>30</v>
      </c>
      <c r="C196" s="144">
        <f t="shared" si="73"/>
        <v>2500</v>
      </c>
      <c r="D196" s="91"/>
      <c r="E196" s="91"/>
      <c r="F196" s="146"/>
      <c r="G196" s="146"/>
      <c r="H196" s="146"/>
      <c r="I196" s="146"/>
      <c r="J196" s="146">
        <v>2500</v>
      </c>
      <c r="K196" s="55"/>
    </row>
    <row r="197" spans="1:11" s="13" customFormat="1" ht="15" customHeight="1">
      <c r="A197" s="72" t="s">
        <v>335</v>
      </c>
      <c r="B197" s="22" t="s">
        <v>501</v>
      </c>
      <c r="C197" s="144">
        <f>SUM(D197:J197)</f>
        <v>2500</v>
      </c>
      <c r="D197" s="91"/>
      <c r="E197" s="91"/>
      <c r="F197" s="146"/>
      <c r="G197" s="146"/>
      <c r="H197" s="146"/>
      <c r="I197" s="146"/>
      <c r="J197" s="146">
        <v>2500</v>
      </c>
      <c r="K197" s="55"/>
    </row>
    <row r="198" spans="1:11" s="13" customFormat="1" ht="15" customHeight="1">
      <c r="A198" s="72" t="s">
        <v>336</v>
      </c>
      <c r="B198" s="22" t="s">
        <v>75</v>
      </c>
      <c r="C198" s="144">
        <f t="shared" si="73"/>
        <v>0</v>
      </c>
      <c r="D198" s="91"/>
      <c r="E198" s="91"/>
      <c r="F198" s="146"/>
      <c r="G198" s="146"/>
      <c r="H198" s="146"/>
      <c r="I198" s="146"/>
      <c r="J198" s="146"/>
      <c r="K198" s="55"/>
    </row>
    <row r="199" spans="1:11" s="7" customFormat="1" ht="15" customHeight="1">
      <c r="A199" s="76"/>
      <c r="B199" s="9"/>
      <c r="C199" s="156"/>
      <c r="D199" s="91"/>
      <c r="E199" s="91"/>
      <c r="F199" s="146"/>
      <c r="G199" s="160"/>
      <c r="H199" s="160"/>
      <c r="I199" s="160"/>
      <c r="J199" s="160"/>
      <c r="K199" s="51"/>
    </row>
    <row r="200" spans="1:11" s="24" customFormat="1" ht="94.5">
      <c r="A200" s="76" t="s">
        <v>337</v>
      </c>
      <c r="B200" s="26" t="s">
        <v>133</v>
      </c>
      <c r="C200" s="153">
        <f>SUM(C201:C202)</f>
        <v>42575.15812000001</v>
      </c>
      <c r="D200" s="85">
        <f aca="true" t="shared" si="74" ref="D200:J200">SUM(D201:D202)</f>
        <v>8429.987000000001</v>
      </c>
      <c r="E200" s="85">
        <f>SUM(E201:E202)</f>
        <v>8229.652999999998</v>
      </c>
      <c r="F200" s="143">
        <f t="shared" si="74"/>
        <v>3454.91525</v>
      </c>
      <c r="G200" s="153">
        <f t="shared" si="74"/>
        <v>9160.60287</v>
      </c>
      <c r="H200" s="153">
        <f t="shared" si="74"/>
        <v>7300</v>
      </c>
      <c r="I200" s="153">
        <f t="shared" si="74"/>
        <v>3000</v>
      </c>
      <c r="J200" s="153">
        <f t="shared" si="74"/>
        <v>3000</v>
      </c>
      <c r="K200" s="55" t="s">
        <v>204</v>
      </c>
    </row>
    <row r="201" spans="1:11" s="7" customFormat="1" ht="15" customHeight="1">
      <c r="A201" s="76" t="s">
        <v>338</v>
      </c>
      <c r="B201" s="9" t="s">
        <v>7</v>
      </c>
      <c r="C201" s="156">
        <f aca="true" t="shared" si="75" ref="C201:C226">SUM(D201:J201)</f>
        <v>40551.358120000004</v>
      </c>
      <c r="D201" s="68">
        <v>7281.987</v>
      </c>
      <c r="E201" s="68">
        <f aca="true" t="shared" si="76" ref="E201:J201">E204+E217</f>
        <v>7353.852999999999</v>
      </c>
      <c r="F201" s="148">
        <f t="shared" si="76"/>
        <v>3454.91525</v>
      </c>
      <c r="G201" s="148">
        <f t="shared" si="76"/>
        <v>9160.60287</v>
      </c>
      <c r="H201" s="148">
        <f t="shared" si="76"/>
        <v>7300</v>
      </c>
      <c r="I201" s="148">
        <f t="shared" si="76"/>
        <v>3000</v>
      </c>
      <c r="J201" s="148">
        <f t="shared" si="76"/>
        <v>3000</v>
      </c>
      <c r="K201" s="57"/>
    </row>
    <row r="202" spans="1:11" s="7" customFormat="1" ht="15" customHeight="1">
      <c r="A202" s="76" t="s">
        <v>339</v>
      </c>
      <c r="B202" s="9" t="s">
        <v>9</v>
      </c>
      <c r="C202" s="156">
        <f t="shared" si="75"/>
        <v>2023.8</v>
      </c>
      <c r="D202" s="68">
        <v>1148</v>
      </c>
      <c r="E202" s="68">
        <v>875.8</v>
      </c>
      <c r="F202" s="148"/>
      <c r="G202" s="159"/>
      <c r="H202" s="159"/>
      <c r="I202" s="159"/>
      <c r="J202" s="159"/>
      <c r="K202" s="57"/>
    </row>
    <row r="203" spans="1:11" s="24" customFormat="1" ht="15" customHeight="1">
      <c r="A203" s="76" t="s">
        <v>340</v>
      </c>
      <c r="B203" s="67" t="s">
        <v>84</v>
      </c>
      <c r="C203" s="156">
        <f t="shared" si="75"/>
        <v>37843.169120000006</v>
      </c>
      <c r="D203" s="85">
        <f aca="true" t="shared" si="77" ref="D203:J203">SUM(D205:D216)</f>
        <v>8429.987000000001</v>
      </c>
      <c r="E203" s="85">
        <f t="shared" si="77"/>
        <v>7174.4529999999995</v>
      </c>
      <c r="F203" s="143">
        <f t="shared" si="77"/>
        <v>1495.91825</v>
      </c>
      <c r="G203" s="143">
        <f t="shared" si="77"/>
        <v>8460.61087</v>
      </c>
      <c r="H203" s="143">
        <f t="shared" si="77"/>
        <v>6282.2</v>
      </c>
      <c r="I203" s="143">
        <f t="shared" si="77"/>
        <v>3000</v>
      </c>
      <c r="J203" s="143">
        <f t="shared" si="77"/>
        <v>3000</v>
      </c>
      <c r="K203" s="52"/>
    </row>
    <row r="204" spans="1:11" s="12" customFormat="1" ht="20.25" customHeight="1">
      <c r="A204" s="76" t="s">
        <v>341</v>
      </c>
      <c r="B204" s="195" t="s">
        <v>85</v>
      </c>
      <c r="C204" s="169">
        <f t="shared" si="75"/>
        <v>35819.36912</v>
      </c>
      <c r="D204" s="114">
        <f>D203-D202</f>
        <v>7281.987000000001</v>
      </c>
      <c r="E204" s="114">
        <f>E203-E202</f>
        <v>6298.652999999999</v>
      </c>
      <c r="F204" s="147">
        <f>F203</f>
        <v>1495.91825</v>
      </c>
      <c r="G204" s="158">
        <f>G203</f>
        <v>8460.61087</v>
      </c>
      <c r="H204" s="158">
        <f>H203</f>
        <v>6282.2</v>
      </c>
      <c r="I204" s="158">
        <f>I203</f>
        <v>3000</v>
      </c>
      <c r="J204" s="158">
        <f>J203</f>
        <v>3000</v>
      </c>
      <c r="K204" s="53"/>
    </row>
    <row r="205" spans="1:11" s="21" customFormat="1" ht="15" customHeight="1">
      <c r="A205" s="76" t="s">
        <v>342</v>
      </c>
      <c r="B205" s="19" t="s">
        <v>76</v>
      </c>
      <c r="C205" s="144">
        <f t="shared" si="75"/>
        <v>1998.382</v>
      </c>
      <c r="D205" s="68">
        <v>1998.382</v>
      </c>
      <c r="E205" s="114"/>
      <c r="F205" s="147"/>
      <c r="G205" s="147"/>
      <c r="H205" s="147"/>
      <c r="I205" s="147"/>
      <c r="J205" s="147"/>
      <c r="K205" s="56"/>
    </row>
    <row r="206" spans="1:11" s="13" customFormat="1" ht="15" customHeight="1">
      <c r="A206" s="76" t="s">
        <v>343</v>
      </c>
      <c r="B206" s="22" t="s">
        <v>502</v>
      </c>
      <c r="C206" s="144">
        <f t="shared" si="75"/>
        <v>1459.29484</v>
      </c>
      <c r="D206" s="91"/>
      <c r="E206" s="91"/>
      <c r="F206" s="146">
        <f>1300+26-450.34616</f>
        <v>875.65384</v>
      </c>
      <c r="G206" s="146">
        <f>425.641</f>
        <v>425.641</v>
      </c>
      <c r="H206" s="146">
        <v>158</v>
      </c>
      <c r="I206" s="146"/>
      <c r="J206" s="146"/>
      <c r="K206" s="55"/>
    </row>
    <row r="207" spans="1:11" s="13" customFormat="1" ht="15.75">
      <c r="A207" s="76" t="s">
        <v>344</v>
      </c>
      <c r="B207" s="22" t="s">
        <v>24</v>
      </c>
      <c r="C207" s="144">
        <f t="shared" si="75"/>
        <v>909</v>
      </c>
      <c r="D207" s="91"/>
      <c r="E207" s="91">
        <f>875.8+624.2-591</f>
        <v>909</v>
      </c>
      <c r="F207" s="146"/>
      <c r="G207" s="146"/>
      <c r="H207" s="146"/>
      <c r="I207" s="146"/>
      <c r="J207" s="146"/>
      <c r="K207" s="55"/>
    </row>
    <row r="208" spans="1:11" s="21" customFormat="1" ht="15" customHeight="1">
      <c r="A208" s="76" t="s">
        <v>345</v>
      </c>
      <c r="B208" s="19" t="s">
        <v>186</v>
      </c>
      <c r="C208" s="144">
        <f t="shared" si="75"/>
        <v>5662.9439999999995</v>
      </c>
      <c r="D208" s="68">
        <v>2785.291</v>
      </c>
      <c r="E208" s="92">
        <f>2877.653</f>
        <v>2877.653</v>
      </c>
      <c r="F208" s="146">
        <f>2300-186.99-1328.01-785</f>
        <v>0</v>
      </c>
      <c r="G208" s="151"/>
      <c r="H208" s="151"/>
      <c r="I208" s="151"/>
      <c r="J208" s="151"/>
      <c r="K208" s="56"/>
    </row>
    <row r="209" spans="1:11" s="13" customFormat="1" ht="15" customHeight="1">
      <c r="A209" s="76" t="s">
        <v>346</v>
      </c>
      <c r="B209" s="22" t="s">
        <v>490</v>
      </c>
      <c r="C209" s="144">
        <f t="shared" si="75"/>
        <v>3574.2</v>
      </c>
      <c r="D209" s="91"/>
      <c r="E209" s="91"/>
      <c r="F209" s="146"/>
      <c r="G209" s="146">
        <v>2100</v>
      </c>
      <c r="H209" s="146">
        <v>1474.2</v>
      </c>
      <c r="I209" s="146"/>
      <c r="J209" s="146"/>
      <c r="K209" s="55"/>
    </row>
    <row r="210" spans="1:11" s="13" customFormat="1" ht="15.75">
      <c r="A210" s="76" t="s">
        <v>347</v>
      </c>
      <c r="B210" s="22" t="s">
        <v>503</v>
      </c>
      <c r="C210" s="144">
        <f t="shared" si="75"/>
        <v>7054.138870000001</v>
      </c>
      <c r="D210" s="91">
        <f>1383.314+1148</f>
        <v>2531.3140000000003</v>
      </c>
      <c r="E210" s="91"/>
      <c r="F210" s="146"/>
      <c r="G210" s="146">
        <f>2500-477.17513</f>
        <v>2022.82487</v>
      </c>
      <c r="H210" s="146">
        <v>2500</v>
      </c>
      <c r="I210" s="146"/>
      <c r="J210" s="146"/>
      <c r="K210" s="55"/>
    </row>
    <row r="211" spans="1:11" s="13" customFormat="1" ht="15.75">
      <c r="A211" s="76" t="s">
        <v>348</v>
      </c>
      <c r="B211" s="22" t="s">
        <v>228</v>
      </c>
      <c r="C211" s="144">
        <f t="shared" si="75"/>
        <v>3739</v>
      </c>
      <c r="D211" s="91">
        <f>1000-535</f>
        <v>465</v>
      </c>
      <c r="E211" s="91"/>
      <c r="F211" s="146">
        <f>274</f>
        <v>274</v>
      </c>
      <c r="G211" s="146"/>
      <c r="H211" s="146"/>
      <c r="I211" s="146">
        <v>3000</v>
      </c>
      <c r="J211" s="146"/>
      <c r="K211" s="55"/>
    </row>
    <row r="212" spans="1:11" s="13" customFormat="1" ht="15.75">
      <c r="A212" s="76" t="s">
        <v>349</v>
      </c>
      <c r="B212" s="22" t="s">
        <v>173</v>
      </c>
      <c r="C212" s="144">
        <f t="shared" si="75"/>
        <v>3387.8</v>
      </c>
      <c r="D212" s="91"/>
      <c r="E212" s="91">
        <f>2000+512+875.8</f>
        <v>3387.8</v>
      </c>
      <c r="F212" s="146"/>
      <c r="G212" s="146"/>
      <c r="H212" s="146"/>
      <c r="I212" s="146"/>
      <c r="J212" s="146"/>
      <c r="K212" s="55"/>
    </row>
    <row r="213" spans="1:11" s="13" customFormat="1" ht="34.5" customHeight="1">
      <c r="A213" s="76" t="s">
        <v>350</v>
      </c>
      <c r="B213" s="22" t="s">
        <v>229</v>
      </c>
      <c r="C213" s="144">
        <f t="shared" si="75"/>
        <v>5353.40941</v>
      </c>
      <c r="D213" s="91"/>
      <c r="E213" s="91"/>
      <c r="F213" s="146">
        <f>800-453.73559</f>
        <v>346.26441</v>
      </c>
      <c r="G213" s="146">
        <v>2007.145</v>
      </c>
      <c r="H213" s="146"/>
      <c r="I213" s="146"/>
      <c r="J213" s="146">
        <v>3000</v>
      </c>
      <c r="K213" s="55"/>
    </row>
    <row r="214" spans="1:11" s="13" customFormat="1" ht="15" customHeight="1">
      <c r="A214" s="76" t="s">
        <v>351</v>
      </c>
      <c r="B214" s="22" t="s">
        <v>199</v>
      </c>
      <c r="C214" s="144">
        <f t="shared" si="75"/>
        <v>1905</v>
      </c>
      <c r="D214" s="91"/>
      <c r="E214" s="91"/>
      <c r="F214" s="146"/>
      <c r="G214" s="146">
        <f>3000-1095</f>
        <v>1905</v>
      </c>
      <c r="H214" s="146"/>
      <c r="I214" s="146"/>
      <c r="J214" s="146"/>
      <c r="K214" s="55"/>
    </row>
    <row r="215" spans="1:11" s="13" customFormat="1" ht="15" customHeight="1">
      <c r="A215" s="76" t="s">
        <v>352</v>
      </c>
      <c r="B215" s="22" t="s">
        <v>504</v>
      </c>
      <c r="C215" s="144">
        <f>SUM(D215:J215)</f>
        <v>2150</v>
      </c>
      <c r="D215" s="91"/>
      <c r="E215" s="91"/>
      <c r="F215" s="146"/>
      <c r="G215" s="146"/>
      <c r="H215" s="146">
        <v>2150</v>
      </c>
      <c r="I215" s="146"/>
      <c r="J215" s="146"/>
      <c r="K215" s="55"/>
    </row>
    <row r="216" spans="1:11" s="13" customFormat="1" ht="15" customHeight="1">
      <c r="A216" s="76" t="s">
        <v>353</v>
      </c>
      <c r="B216" s="22" t="s">
        <v>17</v>
      </c>
      <c r="C216" s="144">
        <f t="shared" si="75"/>
        <v>650</v>
      </c>
      <c r="D216" s="91">
        <v>650</v>
      </c>
      <c r="E216" s="91"/>
      <c r="F216" s="146"/>
      <c r="G216" s="146"/>
      <c r="H216" s="146"/>
      <c r="I216" s="146"/>
      <c r="J216" s="146"/>
      <c r="K216" s="55"/>
    </row>
    <row r="217" spans="1:11" s="181" customFormat="1" ht="32.25" customHeight="1">
      <c r="A217" s="76" t="s">
        <v>354</v>
      </c>
      <c r="B217" s="179" t="s">
        <v>83</v>
      </c>
      <c r="C217" s="144">
        <f t="shared" si="75"/>
        <v>4731.9890000000005</v>
      </c>
      <c r="D217" s="85">
        <f aca="true" t="shared" si="78" ref="D217:J217">SUM(D218:D227)</f>
        <v>0</v>
      </c>
      <c r="E217" s="85">
        <f t="shared" si="78"/>
        <v>1055.2</v>
      </c>
      <c r="F217" s="143">
        <f t="shared" si="78"/>
        <v>1958.9969999999998</v>
      </c>
      <c r="G217" s="143">
        <f t="shared" si="78"/>
        <v>699.992</v>
      </c>
      <c r="H217" s="143">
        <f t="shared" si="78"/>
        <v>1017.8</v>
      </c>
      <c r="I217" s="143">
        <f t="shared" si="78"/>
        <v>0</v>
      </c>
      <c r="J217" s="143">
        <f t="shared" si="78"/>
        <v>0</v>
      </c>
      <c r="K217" s="180"/>
    </row>
    <row r="218" spans="1:11" s="13" customFormat="1" ht="15" customHeight="1">
      <c r="A218" s="76" t="s">
        <v>355</v>
      </c>
      <c r="B218" s="65" t="s">
        <v>77</v>
      </c>
      <c r="C218" s="144">
        <f t="shared" si="75"/>
        <v>800</v>
      </c>
      <c r="D218" s="91"/>
      <c r="E218" s="91">
        <f>1000-200</f>
        <v>800</v>
      </c>
      <c r="F218" s="146"/>
      <c r="G218" s="146"/>
      <c r="H218" s="146"/>
      <c r="I218" s="146"/>
      <c r="J218" s="146"/>
      <c r="K218" s="55"/>
    </row>
    <row r="219" spans="1:11" s="13" customFormat="1" ht="15" customHeight="1">
      <c r="A219" s="76" t="s">
        <v>356</v>
      </c>
      <c r="B219" s="65" t="s">
        <v>78</v>
      </c>
      <c r="C219" s="144">
        <f t="shared" si="75"/>
        <v>473.76300000000003</v>
      </c>
      <c r="D219" s="91"/>
      <c r="E219" s="91"/>
      <c r="F219" s="146">
        <f>400-26</f>
        <v>374</v>
      </c>
      <c r="G219" s="146"/>
      <c r="H219" s="146">
        <v>99.763</v>
      </c>
      <c r="I219" s="146"/>
      <c r="J219" s="146"/>
      <c r="K219" s="55"/>
    </row>
    <row r="220" spans="1:11" s="13" customFormat="1" ht="15" customHeight="1">
      <c r="A220" s="76" t="s">
        <v>357</v>
      </c>
      <c r="B220" s="65" t="s">
        <v>482</v>
      </c>
      <c r="C220" s="144">
        <f t="shared" si="75"/>
        <v>299.992</v>
      </c>
      <c r="D220" s="91"/>
      <c r="E220" s="91"/>
      <c r="F220" s="146"/>
      <c r="G220" s="146">
        <f>299.992</f>
        <v>299.992</v>
      </c>
      <c r="H220" s="146"/>
      <c r="I220" s="146"/>
      <c r="J220" s="146"/>
      <c r="K220" s="55"/>
    </row>
    <row r="221" spans="1:11" s="13" customFormat="1" ht="15" customHeight="1">
      <c r="A221" s="76" t="s">
        <v>358</v>
      </c>
      <c r="B221" s="65" t="s">
        <v>28</v>
      </c>
      <c r="C221" s="144">
        <f t="shared" si="75"/>
        <v>785</v>
      </c>
      <c r="D221" s="91"/>
      <c r="E221" s="91"/>
      <c r="F221" s="146">
        <f>785</f>
        <v>785</v>
      </c>
      <c r="G221" s="146"/>
      <c r="H221" s="146"/>
      <c r="I221" s="146"/>
      <c r="J221" s="146"/>
      <c r="K221" s="55"/>
    </row>
    <row r="222" spans="1:11" s="13" customFormat="1" ht="15" customHeight="1">
      <c r="A222" s="76" t="s">
        <v>359</v>
      </c>
      <c r="B222" s="65" t="s">
        <v>79</v>
      </c>
      <c r="C222" s="144">
        <f t="shared" si="75"/>
        <v>400</v>
      </c>
      <c r="D222" s="91"/>
      <c r="E222" s="91"/>
      <c r="F222" s="146"/>
      <c r="G222" s="146">
        <v>400</v>
      </c>
      <c r="H222" s="146"/>
      <c r="I222" s="146"/>
      <c r="J222" s="146"/>
      <c r="K222" s="55"/>
    </row>
    <row r="223" spans="1:11" s="13" customFormat="1" ht="15" customHeight="1">
      <c r="A223" s="76" t="s">
        <v>360</v>
      </c>
      <c r="B223" s="65" t="s">
        <v>31</v>
      </c>
      <c r="C223" s="144">
        <f t="shared" si="75"/>
        <v>799.997</v>
      </c>
      <c r="D223" s="91"/>
      <c r="E223" s="91"/>
      <c r="F223" s="146">
        <f>800-0.003</f>
        <v>799.997</v>
      </c>
      <c r="G223" s="146"/>
      <c r="H223" s="146"/>
      <c r="I223" s="146"/>
      <c r="J223" s="146"/>
      <c r="K223" s="55"/>
    </row>
    <row r="224" spans="1:11" s="13" customFormat="1" ht="15" customHeight="1">
      <c r="A224" s="76" t="s">
        <v>361</v>
      </c>
      <c r="B224" s="65" t="s">
        <v>64</v>
      </c>
      <c r="C224" s="144">
        <f t="shared" si="75"/>
        <v>255.2</v>
      </c>
      <c r="D224" s="91"/>
      <c r="E224" s="91">
        <f>550-110-184.8</f>
        <v>255.2</v>
      </c>
      <c r="F224" s="146"/>
      <c r="G224" s="146"/>
      <c r="H224" s="146"/>
      <c r="I224" s="146"/>
      <c r="J224" s="146"/>
      <c r="K224" s="55"/>
    </row>
    <row r="225" spans="1:11" s="13" customFormat="1" ht="15" customHeight="1">
      <c r="A225" s="76" t="s">
        <v>362</v>
      </c>
      <c r="B225" s="65" t="s">
        <v>65</v>
      </c>
      <c r="C225" s="144">
        <f t="shared" si="75"/>
        <v>500.237</v>
      </c>
      <c r="D225" s="91"/>
      <c r="E225" s="91"/>
      <c r="F225" s="146"/>
      <c r="G225" s="146"/>
      <c r="H225" s="146">
        <v>500.237</v>
      </c>
      <c r="I225" s="146"/>
      <c r="J225" s="146"/>
      <c r="K225" s="55"/>
    </row>
    <row r="226" spans="1:11" s="13" customFormat="1" ht="15" customHeight="1">
      <c r="A226" s="76" t="s">
        <v>363</v>
      </c>
      <c r="B226" s="65" t="s">
        <v>505</v>
      </c>
      <c r="C226" s="144">
        <f t="shared" si="75"/>
        <v>117.8</v>
      </c>
      <c r="D226" s="91"/>
      <c r="E226" s="91"/>
      <c r="F226" s="146"/>
      <c r="G226" s="146"/>
      <c r="H226" s="146">
        <v>117.8</v>
      </c>
      <c r="I226" s="146"/>
      <c r="J226" s="146"/>
      <c r="K226" s="55"/>
    </row>
    <row r="227" spans="1:11" s="13" customFormat="1" ht="15" customHeight="1">
      <c r="A227" s="76" t="s">
        <v>364</v>
      </c>
      <c r="B227" s="65" t="s">
        <v>506</v>
      </c>
      <c r="C227" s="144">
        <f>SUM(D227:J227)</f>
        <v>300</v>
      </c>
      <c r="D227" s="91"/>
      <c r="E227" s="91"/>
      <c r="F227" s="146"/>
      <c r="G227" s="146"/>
      <c r="H227" s="146">
        <v>300</v>
      </c>
      <c r="I227" s="146"/>
      <c r="J227" s="146"/>
      <c r="K227" s="55"/>
    </row>
    <row r="228" spans="1:11" s="7" customFormat="1" ht="15" customHeight="1">
      <c r="A228" s="77"/>
      <c r="B228" s="5"/>
      <c r="C228" s="156"/>
      <c r="D228" s="91"/>
      <c r="E228" s="91"/>
      <c r="F228" s="146"/>
      <c r="G228" s="160"/>
      <c r="H228" s="160"/>
      <c r="I228" s="160"/>
      <c r="J228" s="160"/>
      <c r="K228" s="51"/>
    </row>
    <row r="229" spans="1:11" s="181" customFormat="1" ht="63" customHeight="1">
      <c r="A229" s="75" t="s">
        <v>365</v>
      </c>
      <c r="B229" s="182" t="s">
        <v>134</v>
      </c>
      <c r="C229" s="143">
        <f>SUM(C230:C232)</f>
        <v>2694.4</v>
      </c>
      <c r="D229" s="85">
        <f>SUM(D230:D231)</f>
        <v>0</v>
      </c>
      <c r="E229" s="85">
        <f>SUM(E230:E232)</f>
        <v>2694.4</v>
      </c>
      <c r="F229" s="143">
        <f>SUM(F230:F231)</f>
        <v>0</v>
      </c>
      <c r="G229" s="143">
        <f>SUM(G230:G231)</f>
        <v>0</v>
      </c>
      <c r="H229" s="143">
        <f>SUM(H230:H231)</f>
        <v>0</v>
      </c>
      <c r="I229" s="143">
        <f>SUM(I230:I231)</f>
        <v>0</v>
      </c>
      <c r="J229" s="143">
        <f>SUM(J230:J231)</f>
        <v>0</v>
      </c>
      <c r="K229" s="55" t="s">
        <v>480</v>
      </c>
    </row>
    <row r="230" spans="1:11" s="13" customFormat="1" ht="15" customHeight="1">
      <c r="A230" s="75" t="s">
        <v>366</v>
      </c>
      <c r="B230" s="22" t="s">
        <v>7</v>
      </c>
      <c r="C230" s="144">
        <f>SUM(D230:J230)</f>
        <v>700</v>
      </c>
      <c r="D230" s="91"/>
      <c r="E230" s="91">
        <v>700</v>
      </c>
      <c r="F230" s="146"/>
      <c r="G230" s="146"/>
      <c r="H230" s="146"/>
      <c r="I230" s="146"/>
      <c r="J230" s="146"/>
      <c r="K230" s="55"/>
    </row>
    <row r="231" spans="1:11" s="13" customFormat="1" ht="15" customHeight="1">
      <c r="A231" s="75" t="s">
        <v>367</v>
      </c>
      <c r="B231" s="22" t="s">
        <v>8</v>
      </c>
      <c r="C231" s="144">
        <f>SUM(D231:J231)</f>
        <v>1396</v>
      </c>
      <c r="D231" s="91"/>
      <c r="E231" s="91">
        <v>1396</v>
      </c>
      <c r="F231" s="146"/>
      <c r="G231" s="146"/>
      <c r="H231" s="146"/>
      <c r="I231" s="146"/>
      <c r="J231" s="146"/>
      <c r="K231" s="55"/>
    </row>
    <row r="232" spans="1:11" s="13" customFormat="1" ht="15" customHeight="1">
      <c r="A232" s="75" t="s">
        <v>368</v>
      </c>
      <c r="B232" s="19" t="s">
        <v>9</v>
      </c>
      <c r="C232" s="144">
        <f>SUM(D232:J232)</f>
        <v>598.4</v>
      </c>
      <c r="D232" s="91"/>
      <c r="E232" s="91">
        <v>598.4</v>
      </c>
      <c r="F232" s="146"/>
      <c r="G232" s="146"/>
      <c r="H232" s="146"/>
      <c r="I232" s="146"/>
      <c r="J232" s="146"/>
      <c r="K232" s="55"/>
    </row>
    <row r="233" spans="1:11" s="21" customFormat="1" ht="15" customHeight="1">
      <c r="A233" s="74"/>
      <c r="B233" s="19" t="s">
        <v>19</v>
      </c>
      <c r="C233" s="168"/>
      <c r="D233" s="114"/>
      <c r="E233" s="114"/>
      <c r="F233" s="147"/>
      <c r="G233" s="147"/>
      <c r="H233" s="147"/>
      <c r="I233" s="147"/>
      <c r="J233" s="147"/>
      <c r="K233" s="56"/>
    </row>
    <row r="234" spans="1:11" s="13" customFormat="1" ht="15" customHeight="1">
      <c r="A234" s="72" t="s">
        <v>369</v>
      </c>
      <c r="B234" s="22" t="s">
        <v>31</v>
      </c>
      <c r="C234" s="144">
        <f>SUM(D234:J234)</f>
        <v>1347.2</v>
      </c>
      <c r="D234" s="91"/>
      <c r="E234" s="91">
        <f>350+997.2</f>
        <v>1347.2</v>
      </c>
      <c r="F234" s="146"/>
      <c r="G234" s="146"/>
      <c r="H234" s="146"/>
      <c r="I234" s="146"/>
      <c r="J234" s="146"/>
      <c r="K234" s="55"/>
    </row>
    <row r="235" spans="1:11" s="13" customFormat="1" ht="15" customHeight="1">
      <c r="A235" s="72" t="s">
        <v>370</v>
      </c>
      <c r="B235" s="22" t="s">
        <v>65</v>
      </c>
      <c r="C235" s="144">
        <f>SUM(D235:J235)</f>
        <v>1347.2</v>
      </c>
      <c r="D235" s="91"/>
      <c r="E235" s="91">
        <f>350+997.2</f>
        <v>1347.2</v>
      </c>
      <c r="F235" s="146"/>
      <c r="G235" s="146"/>
      <c r="H235" s="146"/>
      <c r="I235" s="146"/>
      <c r="J235" s="146"/>
      <c r="K235" s="55"/>
    </row>
    <row r="236" spans="1:11" s="7" customFormat="1" ht="15" customHeight="1">
      <c r="A236" s="76"/>
      <c r="B236" s="9"/>
      <c r="C236" s="156"/>
      <c r="D236" s="91"/>
      <c r="E236" s="91"/>
      <c r="F236" s="146"/>
      <c r="G236" s="146"/>
      <c r="H236" s="146"/>
      <c r="I236" s="146"/>
      <c r="J236" s="146"/>
      <c r="K236" s="55"/>
    </row>
    <row r="237" spans="1:11" s="181" customFormat="1" ht="75.75" customHeight="1">
      <c r="A237" s="75" t="s">
        <v>371</v>
      </c>
      <c r="B237" s="177" t="s">
        <v>135</v>
      </c>
      <c r="C237" s="143">
        <f>SUM(C238)</f>
        <v>1420081.2</v>
      </c>
      <c r="D237" s="85">
        <f>SUM(D238)</f>
        <v>166082</v>
      </c>
      <c r="E237" s="85">
        <f aca="true" t="shared" si="79" ref="E237:J237">SUM(E238)</f>
        <v>175796</v>
      </c>
      <c r="F237" s="143">
        <f t="shared" si="79"/>
        <v>213294.2</v>
      </c>
      <c r="G237" s="143">
        <f t="shared" si="79"/>
        <v>212118</v>
      </c>
      <c r="H237" s="143">
        <f t="shared" si="79"/>
        <v>214313</v>
      </c>
      <c r="I237" s="143">
        <f t="shared" si="79"/>
        <v>216188</v>
      </c>
      <c r="J237" s="143">
        <f t="shared" si="79"/>
        <v>222290</v>
      </c>
      <c r="K237" s="55" t="s">
        <v>205</v>
      </c>
    </row>
    <row r="238" spans="1:11" s="13" customFormat="1" ht="15" customHeight="1">
      <c r="A238" s="72" t="s">
        <v>372</v>
      </c>
      <c r="B238" s="22" t="s">
        <v>9</v>
      </c>
      <c r="C238" s="144">
        <f>SUM(D238:J238)</f>
        <v>1420081.2</v>
      </c>
      <c r="D238" s="68">
        <f>176507-9304-1121</f>
        <v>166082</v>
      </c>
      <c r="E238" s="68">
        <f>189957-14161</f>
        <v>175796</v>
      </c>
      <c r="F238" s="148">
        <f>209687+1225.2+2382</f>
        <v>213294.2</v>
      </c>
      <c r="G238" s="148">
        <v>212118</v>
      </c>
      <c r="H238" s="148">
        <v>214313</v>
      </c>
      <c r="I238" s="148">
        <v>216188</v>
      </c>
      <c r="J238" s="148">
        <v>222290</v>
      </c>
      <c r="K238" s="55"/>
    </row>
    <row r="239" spans="1:11" s="7" customFormat="1" ht="15" customHeight="1">
      <c r="A239" s="76"/>
      <c r="B239" s="9"/>
      <c r="C239" s="156"/>
      <c r="D239" s="68"/>
      <c r="E239" s="68"/>
      <c r="F239" s="148"/>
      <c r="G239" s="148"/>
      <c r="H239" s="148"/>
      <c r="I239" s="148"/>
      <c r="J239" s="148"/>
      <c r="K239" s="51"/>
    </row>
    <row r="240" spans="1:11" s="181" customFormat="1" ht="79.5" customHeight="1">
      <c r="A240" s="72" t="s">
        <v>373</v>
      </c>
      <c r="B240" s="176" t="s">
        <v>140</v>
      </c>
      <c r="C240" s="143">
        <f>SUM(C241:C242)</f>
        <v>506042.40872</v>
      </c>
      <c r="D240" s="85">
        <f>SUM(D241:D242)</f>
        <v>94139.759</v>
      </c>
      <c r="E240" s="85">
        <f aca="true" t="shared" si="80" ref="E240:J240">SUM(E241:E242)</f>
        <v>92123.91500000001</v>
      </c>
      <c r="F240" s="143">
        <f t="shared" si="80"/>
        <v>57457.70059000001</v>
      </c>
      <c r="G240" s="143">
        <f t="shared" si="80"/>
        <v>61701.53413</v>
      </c>
      <c r="H240" s="143">
        <f t="shared" si="80"/>
        <v>63150</v>
      </c>
      <c r="I240" s="143">
        <f t="shared" si="80"/>
        <v>67940</v>
      </c>
      <c r="J240" s="143">
        <f t="shared" si="80"/>
        <v>69529.5</v>
      </c>
      <c r="K240" s="55" t="s">
        <v>206</v>
      </c>
    </row>
    <row r="241" spans="1:11" s="13" customFormat="1" ht="15" customHeight="1">
      <c r="A241" s="72" t="s">
        <v>374</v>
      </c>
      <c r="B241" s="19" t="s">
        <v>7</v>
      </c>
      <c r="C241" s="144">
        <f>SUM(D241:J241)</f>
        <v>496842.40872</v>
      </c>
      <c r="D241" s="68">
        <v>94139.759</v>
      </c>
      <c r="E241" s="68">
        <f>94122+200-996.9-482.3-0.1+0.012-718.798+0.001</f>
        <v>92123.91500000001</v>
      </c>
      <c r="F241" s="151">
        <f>48887+4500+5658.385-1600+100-172-0.001+84.31659</f>
        <v>57457.70059000001</v>
      </c>
      <c r="G241" s="151">
        <f>58800+124.359+477.17513</f>
        <v>59401.53413</v>
      </c>
      <c r="H241" s="148">
        <f>60000+850</f>
        <v>60850</v>
      </c>
      <c r="I241" s="148">
        <f>65240+400</f>
        <v>65640</v>
      </c>
      <c r="J241" s="148">
        <v>67229.5</v>
      </c>
      <c r="K241" s="55"/>
    </row>
    <row r="242" spans="1:11" s="13" customFormat="1" ht="15" customHeight="1">
      <c r="A242" s="72" t="s">
        <v>375</v>
      </c>
      <c r="B242" s="19" t="s">
        <v>10</v>
      </c>
      <c r="C242" s="144">
        <f>SUM(D242:J242)</f>
        <v>9200</v>
      </c>
      <c r="D242" s="68"/>
      <c r="E242" s="68"/>
      <c r="F242" s="151"/>
      <c r="G242" s="151">
        <v>2300</v>
      </c>
      <c r="H242" s="151">
        <v>2300</v>
      </c>
      <c r="I242" s="151">
        <v>2300</v>
      </c>
      <c r="J242" s="151">
        <v>2300</v>
      </c>
      <c r="K242" s="55"/>
    </row>
    <row r="243" spans="1:11" s="7" customFormat="1" ht="15" customHeight="1">
      <c r="A243" s="76"/>
      <c r="B243" s="11"/>
      <c r="C243" s="156"/>
      <c r="D243" s="69"/>
      <c r="E243" s="69"/>
      <c r="F243" s="149"/>
      <c r="G243" s="149"/>
      <c r="H243" s="149"/>
      <c r="I243" s="149"/>
      <c r="J243" s="149"/>
      <c r="K243" s="55"/>
    </row>
    <row r="244" spans="1:11" s="13" customFormat="1" ht="66.75" customHeight="1">
      <c r="A244" s="75" t="s">
        <v>376</v>
      </c>
      <c r="B244" s="27" t="s">
        <v>136</v>
      </c>
      <c r="C244" s="144">
        <f>SUM(C245+C249)</f>
        <v>276874.118</v>
      </c>
      <c r="D244" s="90">
        <f>SUM(D245+D249)</f>
        <v>66531.448</v>
      </c>
      <c r="E244" s="90">
        <f aca="true" t="shared" si="81" ref="E244:J244">SUM(E245+E249)</f>
        <v>30574.17</v>
      </c>
      <c r="F244" s="144">
        <f t="shared" si="81"/>
        <v>31925</v>
      </c>
      <c r="G244" s="144">
        <f t="shared" si="81"/>
        <v>32900</v>
      </c>
      <c r="H244" s="144">
        <f t="shared" si="81"/>
        <v>36700</v>
      </c>
      <c r="I244" s="144">
        <f t="shared" si="81"/>
        <v>38870</v>
      </c>
      <c r="J244" s="144">
        <f t="shared" si="81"/>
        <v>39373.5</v>
      </c>
      <c r="K244" s="55" t="s">
        <v>207</v>
      </c>
    </row>
    <row r="245" spans="1:11" s="13" customFormat="1" ht="15" customHeight="1">
      <c r="A245" s="75" t="s">
        <v>377</v>
      </c>
      <c r="B245" s="19" t="s">
        <v>7</v>
      </c>
      <c r="C245" s="144">
        <f>SUM(D245:J245)</f>
        <v>267376.718</v>
      </c>
      <c r="D245" s="68">
        <f>SUM(D247:D248)</f>
        <v>62334.048</v>
      </c>
      <c r="E245" s="68">
        <f aca="true" t="shared" si="82" ref="E245:J245">SUM(E247:E248)</f>
        <v>30574.17</v>
      </c>
      <c r="F245" s="148">
        <f>SUM(F247:F248)</f>
        <v>30225</v>
      </c>
      <c r="G245" s="148">
        <f>SUM(G247:G248)</f>
        <v>32000</v>
      </c>
      <c r="H245" s="148">
        <f t="shared" si="82"/>
        <v>35800</v>
      </c>
      <c r="I245" s="148">
        <f t="shared" si="82"/>
        <v>37970</v>
      </c>
      <c r="J245" s="148">
        <f t="shared" si="82"/>
        <v>38473.5</v>
      </c>
      <c r="K245" s="55"/>
    </row>
    <row r="246" spans="1:11" s="21" customFormat="1" ht="15" customHeight="1">
      <c r="A246" s="74"/>
      <c r="B246" s="19" t="s">
        <v>22</v>
      </c>
      <c r="C246" s="168"/>
      <c r="D246" s="114"/>
      <c r="E246" s="114"/>
      <c r="F246" s="147"/>
      <c r="G246" s="147"/>
      <c r="H246" s="147"/>
      <c r="I246" s="147"/>
      <c r="J246" s="147"/>
      <c r="K246" s="56"/>
    </row>
    <row r="247" spans="1:11" s="13" customFormat="1" ht="15.75">
      <c r="A247" s="72" t="s">
        <v>378</v>
      </c>
      <c r="B247" s="183" t="s">
        <v>21</v>
      </c>
      <c r="C247" s="144">
        <f>SUM(D247:J247)</f>
        <v>234353.07</v>
      </c>
      <c r="D247" s="68">
        <v>29310.4</v>
      </c>
      <c r="E247" s="68">
        <f>29445-213-39.43+300+1081.6</f>
        <v>30574.17</v>
      </c>
      <c r="F247" s="148">
        <f>28404+800+376+645</f>
        <v>30225</v>
      </c>
      <c r="G247" s="148">
        <f>31200+800</f>
        <v>32000</v>
      </c>
      <c r="H247" s="148">
        <f>34800+800+200</f>
        <v>35800</v>
      </c>
      <c r="I247" s="148">
        <f>37170+800</f>
        <v>37970</v>
      </c>
      <c r="J247" s="148">
        <f>37673.5+800</f>
        <v>38473.5</v>
      </c>
      <c r="K247" s="55"/>
    </row>
    <row r="248" spans="1:11" s="13" customFormat="1" ht="37.5" customHeight="1">
      <c r="A248" s="72" t="s">
        <v>379</v>
      </c>
      <c r="B248" s="45" t="s">
        <v>18</v>
      </c>
      <c r="C248" s="144">
        <f>SUM(D248:J248)</f>
        <v>33023.648</v>
      </c>
      <c r="D248" s="68">
        <v>33023.648</v>
      </c>
      <c r="E248" s="68">
        <v>0</v>
      </c>
      <c r="F248" s="148">
        <v>0</v>
      </c>
      <c r="G248" s="148">
        <v>0</v>
      </c>
      <c r="H248" s="148">
        <v>0</v>
      </c>
      <c r="I248" s="148">
        <v>0</v>
      </c>
      <c r="J248" s="148">
        <v>0</v>
      </c>
      <c r="K248" s="55"/>
    </row>
    <row r="249" spans="1:11" s="13" customFormat="1" ht="15" customHeight="1">
      <c r="A249" s="72" t="s">
        <v>380</v>
      </c>
      <c r="B249" s="22" t="s">
        <v>10</v>
      </c>
      <c r="C249" s="144">
        <f>SUM(D249:J249)</f>
        <v>9497.4</v>
      </c>
      <c r="D249" s="68">
        <v>4197.4</v>
      </c>
      <c r="E249" s="68">
        <v>0</v>
      </c>
      <c r="F249" s="148">
        <v>1700</v>
      </c>
      <c r="G249" s="148">
        <v>900</v>
      </c>
      <c r="H249" s="148">
        <v>900</v>
      </c>
      <c r="I249" s="148">
        <v>900</v>
      </c>
      <c r="J249" s="148">
        <v>900</v>
      </c>
      <c r="K249" s="55"/>
    </row>
    <row r="250" spans="1:11" s="7" customFormat="1" ht="15" customHeight="1">
      <c r="A250" s="76"/>
      <c r="B250" s="9"/>
      <c r="C250" s="156"/>
      <c r="D250" s="69"/>
      <c r="E250" s="69"/>
      <c r="F250" s="149"/>
      <c r="G250" s="157"/>
      <c r="H250" s="157"/>
      <c r="I250" s="157"/>
      <c r="J250" s="157"/>
      <c r="K250" s="51"/>
    </row>
    <row r="251" spans="1:11" s="13" customFormat="1" ht="69" customHeight="1">
      <c r="A251" s="75" t="s">
        <v>381</v>
      </c>
      <c r="B251" s="27" t="s">
        <v>137</v>
      </c>
      <c r="C251" s="144">
        <f>SUM(D251:J251)</f>
        <v>3124.8</v>
      </c>
      <c r="D251" s="90">
        <f>SUM(D252)</f>
        <v>3124.8</v>
      </c>
      <c r="E251" s="90">
        <f aca="true" t="shared" si="83" ref="E251:J251">SUM(E252)</f>
        <v>0</v>
      </c>
      <c r="F251" s="144">
        <f t="shared" si="83"/>
        <v>0</v>
      </c>
      <c r="G251" s="144">
        <f t="shared" si="83"/>
        <v>0</v>
      </c>
      <c r="H251" s="144">
        <f t="shared" si="83"/>
        <v>0</v>
      </c>
      <c r="I251" s="144">
        <f t="shared" si="83"/>
        <v>0</v>
      </c>
      <c r="J251" s="144">
        <f t="shared" si="83"/>
        <v>0</v>
      </c>
      <c r="K251" s="55" t="s">
        <v>182</v>
      </c>
    </row>
    <row r="252" spans="1:11" s="13" customFormat="1" ht="15" customHeight="1">
      <c r="A252" s="75" t="s">
        <v>382</v>
      </c>
      <c r="B252" s="19" t="s">
        <v>9</v>
      </c>
      <c r="C252" s="144">
        <f>SUM(D252:J252)</f>
        <v>3124.8</v>
      </c>
      <c r="D252" s="68">
        <f>SUM(D254)</f>
        <v>3124.8</v>
      </c>
      <c r="E252" s="68">
        <f aca="true" t="shared" si="84" ref="E252:J252">SUM(E254)</f>
        <v>0</v>
      </c>
      <c r="F252" s="148">
        <f t="shared" si="84"/>
        <v>0</v>
      </c>
      <c r="G252" s="148">
        <f t="shared" si="84"/>
        <v>0</v>
      </c>
      <c r="H252" s="148">
        <f t="shared" si="84"/>
        <v>0</v>
      </c>
      <c r="I252" s="148">
        <f t="shared" si="84"/>
        <v>0</v>
      </c>
      <c r="J252" s="148">
        <f t="shared" si="84"/>
        <v>0</v>
      </c>
      <c r="K252" s="55"/>
    </row>
    <row r="253" spans="1:11" s="21" customFormat="1" ht="15" customHeight="1">
      <c r="A253" s="74"/>
      <c r="B253" s="19" t="s">
        <v>22</v>
      </c>
      <c r="C253" s="168"/>
      <c r="D253" s="114"/>
      <c r="E253" s="114"/>
      <c r="F253" s="147"/>
      <c r="G253" s="147"/>
      <c r="H253" s="147"/>
      <c r="I253" s="147"/>
      <c r="J253" s="147"/>
      <c r="K253" s="56"/>
    </row>
    <row r="254" spans="1:11" s="13" customFormat="1" ht="33.75" customHeight="1">
      <c r="A254" s="72" t="s">
        <v>383</v>
      </c>
      <c r="B254" s="45" t="s">
        <v>18</v>
      </c>
      <c r="C254" s="144">
        <f>SUM(D254:J254)</f>
        <v>3124.8</v>
      </c>
      <c r="D254" s="68">
        <v>3124.8</v>
      </c>
      <c r="E254" s="68"/>
      <c r="F254" s="148"/>
      <c r="G254" s="148"/>
      <c r="H254" s="148"/>
      <c r="I254" s="148"/>
      <c r="J254" s="148"/>
      <c r="K254" s="55"/>
    </row>
    <row r="255" spans="1:11" s="13" customFormat="1" ht="15.75">
      <c r="A255" s="72"/>
      <c r="B255" s="45"/>
      <c r="C255" s="144"/>
      <c r="D255" s="68"/>
      <c r="E255" s="68"/>
      <c r="F255" s="148"/>
      <c r="G255" s="148"/>
      <c r="H255" s="148"/>
      <c r="I255" s="148"/>
      <c r="J255" s="148"/>
      <c r="K255" s="55"/>
    </row>
    <row r="256" spans="1:11" s="13" customFormat="1" ht="63.75" customHeight="1">
      <c r="A256" s="76" t="s">
        <v>384</v>
      </c>
      <c r="B256" s="26" t="s">
        <v>138</v>
      </c>
      <c r="C256" s="153">
        <f aca="true" t="shared" si="85" ref="C256:J256">SUM(C257)</f>
        <v>25528</v>
      </c>
      <c r="D256" s="85">
        <f t="shared" si="85"/>
        <v>25528</v>
      </c>
      <c r="E256" s="85">
        <f t="shared" si="85"/>
        <v>0</v>
      </c>
      <c r="F256" s="143">
        <f t="shared" si="85"/>
        <v>0</v>
      </c>
      <c r="G256" s="143">
        <f t="shared" si="85"/>
        <v>0</v>
      </c>
      <c r="H256" s="143">
        <f t="shared" si="85"/>
        <v>0</v>
      </c>
      <c r="I256" s="143">
        <f t="shared" si="85"/>
        <v>0</v>
      </c>
      <c r="J256" s="143">
        <f t="shared" si="85"/>
        <v>0</v>
      </c>
      <c r="K256" s="55" t="s">
        <v>188</v>
      </c>
    </row>
    <row r="257" spans="1:11" s="13" customFormat="1" ht="16.5" customHeight="1">
      <c r="A257" s="76" t="s">
        <v>385</v>
      </c>
      <c r="B257" s="9" t="s">
        <v>9</v>
      </c>
      <c r="C257" s="156">
        <f>SUM(D257:J257)</f>
        <v>25528</v>
      </c>
      <c r="D257" s="68">
        <f>27460-1932</f>
        <v>25528</v>
      </c>
      <c r="E257" s="68">
        <v>0</v>
      </c>
      <c r="F257" s="148">
        <v>0</v>
      </c>
      <c r="G257" s="148">
        <v>0</v>
      </c>
      <c r="H257" s="148">
        <v>0</v>
      </c>
      <c r="I257" s="148">
        <v>0</v>
      </c>
      <c r="J257" s="148">
        <v>0</v>
      </c>
      <c r="K257" s="51"/>
    </row>
    <row r="258" spans="1:11" s="13" customFormat="1" ht="16.5" customHeight="1">
      <c r="A258" s="76"/>
      <c r="B258" s="9"/>
      <c r="C258" s="156"/>
      <c r="D258" s="68"/>
      <c r="E258" s="68"/>
      <c r="F258" s="148"/>
      <c r="G258" s="148"/>
      <c r="H258" s="148"/>
      <c r="I258" s="148"/>
      <c r="J258" s="148"/>
      <c r="K258" s="51"/>
    </row>
    <row r="259" spans="1:11" s="7" customFormat="1" ht="66.75" customHeight="1">
      <c r="A259" s="76" t="s">
        <v>386</v>
      </c>
      <c r="B259" s="27" t="s">
        <v>139</v>
      </c>
      <c r="C259" s="143">
        <f>SUM(D259:J259)</f>
        <v>4560.076000000001</v>
      </c>
      <c r="D259" s="85">
        <f>SUM(D260:D262)</f>
        <v>1155.675</v>
      </c>
      <c r="E259" s="85">
        <f aca="true" t="shared" si="86" ref="E259:J259">SUM(E260:E262)</f>
        <v>1708.2510000000002</v>
      </c>
      <c r="F259" s="143">
        <f t="shared" si="86"/>
        <v>0</v>
      </c>
      <c r="G259" s="143">
        <f t="shared" si="86"/>
        <v>1696.15</v>
      </c>
      <c r="H259" s="143">
        <f t="shared" si="86"/>
        <v>0</v>
      </c>
      <c r="I259" s="143">
        <f t="shared" si="86"/>
        <v>0</v>
      </c>
      <c r="J259" s="143">
        <f t="shared" si="86"/>
        <v>0</v>
      </c>
      <c r="K259" s="55" t="s">
        <v>183</v>
      </c>
    </row>
    <row r="260" spans="1:11" s="7" customFormat="1" ht="15" customHeight="1">
      <c r="A260" s="76" t="s">
        <v>387</v>
      </c>
      <c r="B260" s="22" t="s">
        <v>7</v>
      </c>
      <c r="C260" s="144">
        <f>SUM(D260:J260)</f>
        <v>450</v>
      </c>
      <c r="D260" s="85">
        <f>SUM(D264)</f>
        <v>0</v>
      </c>
      <c r="E260" s="85">
        <f aca="true" t="shared" si="87" ref="E260:J260">SUM(E264)</f>
        <v>150</v>
      </c>
      <c r="F260" s="143">
        <f t="shared" si="87"/>
        <v>0</v>
      </c>
      <c r="G260" s="143">
        <f t="shared" si="87"/>
        <v>300</v>
      </c>
      <c r="H260" s="143">
        <f t="shared" si="87"/>
        <v>0</v>
      </c>
      <c r="I260" s="143">
        <f t="shared" si="87"/>
        <v>0</v>
      </c>
      <c r="J260" s="143">
        <f t="shared" si="87"/>
        <v>0</v>
      </c>
      <c r="K260" s="55"/>
    </row>
    <row r="261" spans="1:11" s="7" customFormat="1" ht="15" customHeight="1">
      <c r="A261" s="76" t="s">
        <v>388</v>
      </c>
      <c r="B261" s="22" t="s">
        <v>9</v>
      </c>
      <c r="C261" s="144">
        <f aca="true" t="shared" si="88" ref="C261:C268">SUM(D261:J261)</f>
        <v>1908.9700000000003</v>
      </c>
      <c r="D261" s="85">
        <f>SUM(D265)</f>
        <v>0</v>
      </c>
      <c r="E261" s="85">
        <f aca="true" t="shared" si="89" ref="E261:J261">SUM(E265)</f>
        <v>512.82</v>
      </c>
      <c r="F261" s="143">
        <f t="shared" si="89"/>
        <v>0</v>
      </c>
      <c r="G261" s="143">
        <f t="shared" si="89"/>
        <v>1396.15</v>
      </c>
      <c r="H261" s="143">
        <f t="shared" si="89"/>
        <v>0</v>
      </c>
      <c r="I261" s="143">
        <f t="shared" si="89"/>
        <v>0</v>
      </c>
      <c r="J261" s="143">
        <f t="shared" si="89"/>
        <v>0</v>
      </c>
      <c r="K261" s="55"/>
    </row>
    <row r="262" spans="1:11" s="7" customFormat="1" ht="15" customHeight="1">
      <c r="A262" s="76" t="s">
        <v>389</v>
      </c>
      <c r="B262" s="22" t="s">
        <v>8</v>
      </c>
      <c r="C262" s="144">
        <f t="shared" si="88"/>
        <v>2201.1059999999998</v>
      </c>
      <c r="D262" s="85">
        <f aca="true" t="shared" si="90" ref="D262:J262">SUM(D266+D268)</f>
        <v>1155.675</v>
      </c>
      <c r="E262" s="85">
        <f t="shared" si="90"/>
        <v>1045.431</v>
      </c>
      <c r="F262" s="143">
        <f t="shared" si="90"/>
        <v>0</v>
      </c>
      <c r="G262" s="143">
        <f t="shared" si="90"/>
        <v>0</v>
      </c>
      <c r="H262" s="143">
        <f t="shared" si="90"/>
        <v>0</v>
      </c>
      <c r="I262" s="143">
        <f t="shared" si="90"/>
        <v>0</v>
      </c>
      <c r="J262" s="143">
        <f t="shared" si="90"/>
        <v>0</v>
      </c>
      <c r="K262" s="55"/>
    </row>
    <row r="263" spans="1:11" s="7" customFormat="1" ht="15" customHeight="1">
      <c r="A263" s="77"/>
      <c r="B263" s="66" t="s">
        <v>86</v>
      </c>
      <c r="C263" s="143"/>
      <c r="D263" s="68"/>
      <c r="E263" s="68"/>
      <c r="F263" s="148"/>
      <c r="G263" s="148"/>
      <c r="H263" s="148"/>
      <c r="I263" s="148"/>
      <c r="J263" s="148"/>
      <c r="K263" s="55"/>
    </row>
    <row r="264" spans="1:11" s="7" customFormat="1" ht="15" customHeight="1">
      <c r="A264" s="77" t="s">
        <v>390</v>
      </c>
      <c r="B264" s="22" t="s">
        <v>7</v>
      </c>
      <c r="C264" s="144">
        <f t="shared" si="88"/>
        <v>450</v>
      </c>
      <c r="D264" s="68"/>
      <c r="E264" s="68">
        <v>150</v>
      </c>
      <c r="F264" s="148"/>
      <c r="G264" s="148">
        <v>300</v>
      </c>
      <c r="H264" s="148"/>
      <c r="I264" s="148"/>
      <c r="J264" s="148"/>
      <c r="K264" s="55"/>
    </row>
    <row r="265" spans="1:11" s="7" customFormat="1" ht="15" customHeight="1">
      <c r="A265" s="77" t="s">
        <v>391</v>
      </c>
      <c r="B265" s="22" t="s">
        <v>9</v>
      </c>
      <c r="C265" s="144">
        <f t="shared" si="88"/>
        <v>1908.9700000000003</v>
      </c>
      <c r="D265" s="68"/>
      <c r="E265" s="68">
        <v>512.82</v>
      </c>
      <c r="F265" s="148"/>
      <c r="G265" s="148">
        <f>740.74+655.41</f>
        <v>1396.15</v>
      </c>
      <c r="H265" s="148"/>
      <c r="I265" s="148"/>
      <c r="J265" s="148"/>
      <c r="K265" s="55"/>
    </row>
    <row r="266" spans="1:11" s="7" customFormat="1" ht="15" customHeight="1">
      <c r="A266" s="77" t="s">
        <v>392</v>
      </c>
      <c r="B266" s="22" t="s">
        <v>8</v>
      </c>
      <c r="C266" s="144">
        <f t="shared" si="88"/>
        <v>1701.106</v>
      </c>
      <c r="D266" s="68">
        <v>1155.675</v>
      </c>
      <c r="E266" s="68">
        <v>545.431</v>
      </c>
      <c r="F266" s="148"/>
      <c r="G266" s="148"/>
      <c r="H266" s="148"/>
      <c r="I266" s="148"/>
      <c r="J266" s="148"/>
      <c r="K266" s="55"/>
    </row>
    <row r="267" spans="1:11" s="7" customFormat="1" ht="15" customHeight="1">
      <c r="A267" s="77"/>
      <c r="B267" s="66" t="s">
        <v>87</v>
      </c>
      <c r="C267" s="143"/>
      <c r="D267" s="68"/>
      <c r="E267" s="68"/>
      <c r="F267" s="148"/>
      <c r="G267" s="148"/>
      <c r="H267" s="148"/>
      <c r="I267" s="148"/>
      <c r="J267" s="148"/>
      <c r="K267" s="55"/>
    </row>
    <row r="268" spans="1:11" s="7" customFormat="1" ht="15" customHeight="1">
      <c r="A268" s="77" t="s">
        <v>393</v>
      </c>
      <c r="B268" s="22" t="s">
        <v>8</v>
      </c>
      <c r="C268" s="144">
        <f t="shared" si="88"/>
        <v>500</v>
      </c>
      <c r="D268" s="68"/>
      <c r="E268" s="68">
        <v>500</v>
      </c>
      <c r="F268" s="148"/>
      <c r="G268" s="148"/>
      <c r="H268" s="148"/>
      <c r="I268" s="148"/>
      <c r="J268" s="148"/>
      <c r="K268" s="55"/>
    </row>
    <row r="269" spans="1:11" s="7" customFormat="1" ht="15" customHeight="1">
      <c r="A269" s="77"/>
      <c r="B269" s="22"/>
      <c r="C269" s="144"/>
      <c r="D269" s="68"/>
      <c r="E269" s="68"/>
      <c r="F269" s="148"/>
      <c r="G269" s="148"/>
      <c r="H269" s="148"/>
      <c r="I269" s="148"/>
      <c r="J269" s="148"/>
      <c r="K269" s="55"/>
    </row>
    <row r="270" spans="1:11" s="7" customFormat="1" ht="66" customHeight="1">
      <c r="A270" s="76" t="s">
        <v>394</v>
      </c>
      <c r="B270" s="27" t="s">
        <v>177</v>
      </c>
      <c r="C270" s="143">
        <f>SUM(D270:J270)</f>
        <v>652.98966</v>
      </c>
      <c r="D270" s="85">
        <f>SUM(D271:D272)</f>
        <v>0</v>
      </c>
      <c r="E270" s="85">
        <f aca="true" t="shared" si="91" ref="E270:J270">SUM(E271:E272)</f>
        <v>0</v>
      </c>
      <c r="F270" s="143">
        <f t="shared" si="91"/>
        <v>652.98966</v>
      </c>
      <c r="G270" s="143">
        <f t="shared" si="91"/>
        <v>0</v>
      </c>
      <c r="H270" s="143">
        <f t="shared" si="91"/>
        <v>0</v>
      </c>
      <c r="I270" s="143">
        <f t="shared" si="91"/>
        <v>0</v>
      </c>
      <c r="J270" s="143">
        <f t="shared" si="91"/>
        <v>0</v>
      </c>
      <c r="K270" s="55" t="s">
        <v>183</v>
      </c>
    </row>
    <row r="271" spans="1:11" s="7" customFormat="1" ht="15" customHeight="1">
      <c r="A271" s="76" t="s">
        <v>395</v>
      </c>
      <c r="B271" s="22" t="s">
        <v>7</v>
      </c>
      <c r="C271" s="144">
        <f>SUM(D271:J271)</f>
        <v>652.98966</v>
      </c>
      <c r="D271" s="92"/>
      <c r="E271" s="92"/>
      <c r="F271" s="151">
        <f>186.98966+500-34</f>
        <v>652.98966</v>
      </c>
      <c r="G271" s="151"/>
      <c r="H271" s="151"/>
      <c r="I271" s="151"/>
      <c r="J271" s="151"/>
      <c r="K271" s="55"/>
    </row>
    <row r="272" spans="1:11" s="7" customFormat="1" ht="15" customHeight="1">
      <c r="A272" s="76" t="s">
        <v>396</v>
      </c>
      <c r="B272" s="22" t="s">
        <v>9</v>
      </c>
      <c r="C272" s="144">
        <f>SUM(D272:J272)</f>
        <v>0</v>
      </c>
      <c r="D272" s="92"/>
      <c r="E272" s="92"/>
      <c r="F272" s="151"/>
      <c r="G272" s="151"/>
      <c r="H272" s="151"/>
      <c r="I272" s="151"/>
      <c r="J272" s="151"/>
      <c r="K272" s="55"/>
    </row>
    <row r="273" spans="1:11" s="7" customFormat="1" ht="15" customHeight="1">
      <c r="A273" s="76"/>
      <c r="B273" s="22"/>
      <c r="C273" s="144"/>
      <c r="D273" s="92"/>
      <c r="E273" s="92"/>
      <c r="F273" s="151"/>
      <c r="G273" s="151"/>
      <c r="H273" s="151"/>
      <c r="I273" s="151"/>
      <c r="J273" s="151"/>
      <c r="K273" s="55"/>
    </row>
    <row r="274" spans="1:11" s="7" customFormat="1" ht="53.25" customHeight="1">
      <c r="A274" s="76" t="s">
        <v>397</v>
      </c>
      <c r="B274" s="27" t="s">
        <v>178</v>
      </c>
      <c r="C274" s="143">
        <f>SUM(D274:J274)</f>
        <v>32291.553</v>
      </c>
      <c r="D274" s="85">
        <f>SUM(D275:D277)</f>
        <v>0</v>
      </c>
      <c r="E274" s="85">
        <f aca="true" t="shared" si="92" ref="E274:J274">SUM(E275:E277)</f>
        <v>0</v>
      </c>
      <c r="F274" s="143">
        <f>SUM(F275:F277)</f>
        <v>21791.553</v>
      </c>
      <c r="G274" s="143">
        <f t="shared" si="92"/>
        <v>0</v>
      </c>
      <c r="H274" s="143">
        <f t="shared" si="92"/>
        <v>0</v>
      </c>
      <c r="I274" s="143">
        <f>SUM(I275:I277)</f>
        <v>10500</v>
      </c>
      <c r="J274" s="143">
        <f t="shared" si="92"/>
        <v>0</v>
      </c>
      <c r="K274" s="55" t="s">
        <v>183</v>
      </c>
    </row>
    <row r="275" spans="1:11" s="7" customFormat="1" ht="31.5" customHeight="1">
      <c r="A275" s="76" t="s">
        <v>398</v>
      </c>
      <c r="B275" s="22" t="s">
        <v>200</v>
      </c>
      <c r="C275" s="144">
        <f>SUM(D275:J275)</f>
        <v>400</v>
      </c>
      <c r="D275" s="92"/>
      <c r="E275" s="92"/>
      <c r="F275" s="151">
        <f>400</f>
        <v>400</v>
      </c>
      <c r="G275" s="151"/>
      <c r="H275" s="151"/>
      <c r="I275" s="151"/>
      <c r="J275" s="151"/>
      <c r="K275" s="55"/>
    </row>
    <row r="276" spans="1:11" s="7" customFormat="1" ht="15" customHeight="1">
      <c r="A276" s="76" t="s">
        <v>399</v>
      </c>
      <c r="B276" s="22" t="s">
        <v>7</v>
      </c>
      <c r="C276" s="144">
        <f>SUM(D276:J276)</f>
        <v>18072.653</v>
      </c>
      <c r="D276" s="92"/>
      <c r="E276" s="92"/>
      <c r="F276" s="151">
        <f>7572.653</f>
        <v>7572.653</v>
      </c>
      <c r="G276" s="151"/>
      <c r="H276" s="151"/>
      <c r="I276" s="151">
        <f>10500-10500+10500</f>
        <v>10500</v>
      </c>
      <c r="J276" s="151"/>
      <c r="K276" s="55"/>
    </row>
    <row r="277" spans="1:11" s="7" customFormat="1" ht="15" customHeight="1">
      <c r="A277" s="76" t="s">
        <v>400</v>
      </c>
      <c r="B277" s="22" t="s">
        <v>9</v>
      </c>
      <c r="C277" s="144">
        <f>SUM(D277:J277)</f>
        <v>13818.9</v>
      </c>
      <c r="D277" s="92"/>
      <c r="E277" s="92"/>
      <c r="F277" s="151">
        <f>13818.9</f>
        <v>13818.9</v>
      </c>
      <c r="G277" s="151"/>
      <c r="H277" s="151"/>
      <c r="I277" s="151"/>
      <c r="J277" s="151"/>
      <c r="K277" s="55"/>
    </row>
    <row r="278" spans="1:11" s="7" customFormat="1" ht="15" customHeight="1">
      <c r="A278" s="76"/>
      <c r="B278" s="22" t="s">
        <v>19</v>
      </c>
      <c r="C278" s="144"/>
      <c r="D278" s="92"/>
      <c r="E278" s="92"/>
      <c r="F278" s="151"/>
      <c r="G278" s="151"/>
      <c r="H278" s="151"/>
      <c r="I278" s="151"/>
      <c r="J278" s="151"/>
      <c r="K278" s="55"/>
    </row>
    <row r="279" spans="1:11" s="7" customFormat="1" ht="15" customHeight="1">
      <c r="A279" s="76" t="s">
        <v>401</v>
      </c>
      <c r="B279" s="22" t="s">
        <v>28</v>
      </c>
      <c r="C279" s="144">
        <f>SUM(D279:J279)</f>
        <v>21791.553</v>
      </c>
      <c r="D279" s="92"/>
      <c r="E279" s="92"/>
      <c r="F279" s="151">
        <f>SUM(F275:F277)</f>
        <v>21791.553</v>
      </c>
      <c r="G279" s="151"/>
      <c r="H279" s="151"/>
      <c r="I279" s="151"/>
      <c r="J279" s="151"/>
      <c r="K279" s="55"/>
    </row>
    <row r="280" spans="1:11" s="7" customFormat="1" ht="15" customHeight="1">
      <c r="A280" s="76" t="s">
        <v>402</v>
      </c>
      <c r="B280" s="22" t="s">
        <v>31</v>
      </c>
      <c r="C280" s="144">
        <f>SUM(D280:J280)</f>
        <v>10500</v>
      </c>
      <c r="D280" s="92"/>
      <c r="E280" s="92"/>
      <c r="F280" s="151"/>
      <c r="G280" s="151"/>
      <c r="H280" s="151"/>
      <c r="I280" s="151">
        <f>SUM(I275:I277)</f>
        <v>10500</v>
      </c>
      <c r="J280" s="151"/>
      <c r="K280" s="55"/>
    </row>
    <row r="281" spans="1:11" s="7" customFormat="1" ht="15" customHeight="1">
      <c r="A281" s="76"/>
      <c r="B281" s="22"/>
      <c r="C281" s="144"/>
      <c r="D281" s="92"/>
      <c r="E281" s="92"/>
      <c r="F281" s="151"/>
      <c r="G281" s="151"/>
      <c r="H281" s="151"/>
      <c r="I281" s="151"/>
      <c r="J281" s="151"/>
      <c r="K281" s="55"/>
    </row>
    <row r="282" spans="1:11" s="13" customFormat="1" ht="83.25" customHeight="1">
      <c r="A282" s="72" t="s">
        <v>403</v>
      </c>
      <c r="B282" s="27" t="s">
        <v>179</v>
      </c>
      <c r="C282" s="143">
        <f>SUM(D282:J282)</f>
        <v>4709</v>
      </c>
      <c r="D282" s="85">
        <f>SUM(D283:D285)</f>
        <v>0</v>
      </c>
      <c r="E282" s="85">
        <f aca="true" t="shared" si="93" ref="E282:J282">SUM(E283:E285)</f>
        <v>0</v>
      </c>
      <c r="F282" s="143">
        <f>SUM(F283:F285)</f>
        <v>3334</v>
      </c>
      <c r="G282" s="143">
        <f t="shared" si="93"/>
        <v>1375</v>
      </c>
      <c r="H282" s="143">
        <f t="shared" si="93"/>
        <v>0</v>
      </c>
      <c r="I282" s="143">
        <f t="shared" si="93"/>
        <v>0</v>
      </c>
      <c r="J282" s="143">
        <f t="shared" si="93"/>
        <v>0</v>
      </c>
      <c r="K282" s="55" t="s">
        <v>184</v>
      </c>
    </row>
    <row r="283" spans="1:11" s="13" customFormat="1" ht="15" customHeight="1">
      <c r="A283" s="72" t="s">
        <v>404</v>
      </c>
      <c r="B283" s="22" t="s">
        <v>213</v>
      </c>
      <c r="C283" s="144">
        <f>SUM(D283:J283)</f>
        <v>34</v>
      </c>
      <c r="D283" s="92"/>
      <c r="E283" s="92"/>
      <c r="F283" s="151">
        <v>34</v>
      </c>
      <c r="G283" s="151"/>
      <c r="H283" s="151"/>
      <c r="I283" s="151"/>
      <c r="J283" s="151"/>
      <c r="K283" s="55"/>
    </row>
    <row r="284" spans="1:11" s="13" customFormat="1" ht="15" customHeight="1">
      <c r="A284" s="72" t="s">
        <v>405</v>
      </c>
      <c r="B284" s="22" t="s">
        <v>7</v>
      </c>
      <c r="C284" s="144">
        <f>SUM(D284:J284)</f>
        <v>3175</v>
      </c>
      <c r="D284" s="92"/>
      <c r="E284" s="92"/>
      <c r="F284" s="151">
        <f>1800</f>
        <v>1800</v>
      </c>
      <c r="G284" s="151">
        <v>1375</v>
      </c>
      <c r="H284" s="151"/>
      <c r="I284" s="151"/>
      <c r="J284" s="151"/>
      <c r="K284" s="55"/>
    </row>
    <row r="285" spans="1:11" s="13" customFormat="1" ht="15" customHeight="1">
      <c r="A285" s="72" t="s">
        <v>406</v>
      </c>
      <c r="B285" s="22" t="s">
        <v>9</v>
      </c>
      <c r="C285" s="144">
        <f>SUM(D285:J285)</f>
        <v>1500</v>
      </c>
      <c r="D285" s="92"/>
      <c r="E285" s="92"/>
      <c r="F285" s="151">
        <f>1500</f>
        <v>1500</v>
      </c>
      <c r="G285" s="151"/>
      <c r="H285" s="151"/>
      <c r="I285" s="151"/>
      <c r="J285" s="151"/>
      <c r="K285" s="55"/>
    </row>
    <row r="286" spans="1:11" s="13" customFormat="1" ht="15" customHeight="1">
      <c r="A286" s="72"/>
      <c r="B286" s="22" t="s">
        <v>19</v>
      </c>
      <c r="C286" s="144"/>
      <c r="D286" s="92"/>
      <c r="E286" s="92"/>
      <c r="F286" s="151"/>
      <c r="G286" s="151"/>
      <c r="H286" s="151"/>
      <c r="I286" s="151"/>
      <c r="J286" s="151"/>
      <c r="K286" s="55"/>
    </row>
    <row r="287" spans="1:11" s="13" customFormat="1" ht="15" customHeight="1">
      <c r="A287" s="72" t="s">
        <v>407</v>
      </c>
      <c r="B287" s="22" t="s">
        <v>65</v>
      </c>
      <c r="C287" s="144">
        <f>SUM(D287:J287)</f>
        <v>3334</v>
      </c>
      <c r="D287" s="92"/>
      <c r="E287" s="92"/>
      <c r="F287" s="151">
        <f>SUM(F283:F285)</f>
        <v>3334</v>
      </c>
      <c r="G287" s="151"/>
      <c r="H287" s="151"/>
      <c r="I287" s="151"/>
      <c r="J287" s="151"/>
      <c r="K287" s="55"/>
    </row>
    <row r="288" spans="1:11" s="13" customFormat="1" ht="15" customHeight="1">
      <c r="A288" s="72" t="s">
        <v>408</v>
      </c>
      <c r="B288" s="22" t="s">
        <v>64</v>
      </c>
      <c r="C288" s="144">
        <f>SUM(D288:J288)</f>
        <v>1375</v>
      </c>
      <c r="D288" s="92"/>
      <c r="E288" s="92"/>
      <c r="F288" s="151"/>
      <c r="G288" s="151">
        <f>SUM(G283:G285)</f>
        <v>1375</v>
      </c>
      <c r="H288" s="151"/>
      <c r="I288" s="151"/>
      <c r="J288" s="151"/>
      <c r="K288" s="55"/>
    </row>
    <row r="289" spans="1:11" s="7" customFormat="1" ht="15" customHeight="1">
      <c r="A289" s="76"/>
      <c r="B289" s="22"/>
      <c r="C289" s="144"/>
      <c r="D289" s="92"/>
      <c r="E289" s="92"/>
      <c r="F289" s="151"/>
      <c r="G289" s="151"/>
      <c r="H289" s="151"/>
      <c r="I289" s="151"/>
      <c r="J289" s="151"/>
      <c r="K289" s="55"/>
    </row>
    <row r="290" spans="1:11" s="7" customFormat="1" ht="96.75" customHeight="1">
      <c r="A290" s="76" t="s">
        <v>409</v>
      </c>
      <c r="B290" s="27" t="s">
        <v>185</v>
      </c>
      <c r="C290" s="143">
        <f>SUM(D290:J290)</f>
        <v>3996.2999999999997</v>
      </c>
      <c r="D290" s="85">
        <f>SUM(D291:D293)</f>
        <v>0</v>
      </c>
      <c r="E290" s="85">
        <f aca="true" t="shared" si="94" ref="E290:J290">SUM(E291:E293)</f>
        <v>0</v>
      </c>
      <c r="F290" s="143">
        <f>SUM(F291:F293)</f>
        <v>3996.2999999999997</v>
      </c>
      <c r="G290" s="143">
        <f t="shared" si="94"/>
        <v>0</v>
      </c>
      <c r="H290" s="143">
        <f t="shared" si="94"/>
        <v>0</v>
      </c>
      <c r="I290" s="143">
        <f t="shared" si="94"/>
        <v>0</v>
      </c>
      <c r="J290" s="143">
        <f t="shared" si="94"/>
        <v>0</v>
      </c>
      <c r="K290" s="55" t="s">
        <v>187</v>
      </c>
    </row>
    <row r="291" spans="1:11" s="7" customFormat="1" ht="15" customHeight="1">
      <c r="A291" s="76" t="s">
        <v>410</v>
      </c>
      <c r="B291" s="22" t="s">
        <v>7</v>
      </c>
      <c r="C291" s="144">
        <f>SUM(D291:J291)</f>
        <v>84.6</v>
      </c>
      <c r="D291" s="92"/>
      <c r="E291" s="92"/>
      <c r="F291" s="151">
        <f>84.6</f>
        <v>84.6</v>
      </c>
      <c r="G291" s="151"/>
      <c r="H291" s="151"/>
      <c r="I291" s="151">
        <f>24000-24000</f>
        <v>0</v>
      </c>
      <c r="J291" s="151"/>
      <c r="K291" s="55"/>
    </row>
    <row r="292" spans="1:11" s="7" customFormat="1" ht="15" customHeight="1">
      <c r="A292" s="76" t="s">
        <v>411</v>
      </c>
      <c r="B292" s="22" t="s">
        <v>9</v>
      </c>
      <c r="C292" s="144">
        <f>SUM(D292:J292)</f>
        <v>0</v>
      </c>
      <c r="D292" s="92"/>
      <c r="E292" s="92"/>
      <c r="F292" s="151"/>
      <c r="G292" s="151"/>
      <c r="H292" s="151"/>
      <c r="I292" s="151"/>
      <c r="J292" s="151"/>
      <c r="K292" s="55"/>
    </row>
    <row r="293" spans="1:11" s="7" customFormat="1" ht="15" customHeight="1">
      <c r="A293" s="76" t="s">
        <v>412</v>
      </c>
      <c r="B293" s="22" t="s">
        <v>8</v>
      </c>
      <c r="C293" s="144">
        <f>SUM(D293:J293)</f>
        <v>3911.7</v>
      </c>
      <c r="D293" s="92"/>
      <c r="E293" s="92"/>
      <c r="F293" s="151">
        <v>3911.7</v>
      </c>
      <c r="G293" s="151"/>
      <c r="H293" s="151"/>
      <c r="I293" s="151"/>
      <c r="J293" s="151"/>
      <c r="K293" s="55"/>
    </row>
    <row r="294" spans="1:11" s="7" customFormat="1" ht="15" customHeight="1">
      <c r="A294" s="76"/>
      <c r="B294" s="22" t="s">
        <v>19</v>
      </c>
      <c r="C294" s="144"/>
      <c r="D294" s="92"/>
      <c r="E294" s="92"/>
      <c r="F294" s="151"/>
      <c r="G294" s="151"/>
      <c r="H294" s="151"/>
      <c r="I294" s="151"/>
      <c r="J294" s="151"/>
      <c r="K294" s="55"/>
    </row>
    <row r="295" spans="1:11" s="7" customFormat="1" ht="15" customHeight="1">
      <c r="A295" s="76" t="s">
        <v>413</v>
      </c>
      <c r="B295" s="22" t="s">
        <v>64</v>
      </c>
      <c r="C295" s="144">
        <f>SUM(D295:J295)</f>
        <v>3996.2999999999997</v>
      </c>
      <c r="D295" s="92"/>
      <c r="E295" s="92"/>
      <c r="F295" s="151">
        <f>SUM(F291:F293)</f>
        <v>3996.2999999999997</v>
      </c>
      <c r="G295" s="151"/>
      <c r="H295" s="151"/>
      <c r="I295" s="151"/>
      <c r="J295" s="151"/>
      <c r="K295" s="55"/>
    </row>
    <row r="296" spans="1:11" s="7" customFormat="1" ht="15" customHeight="1">
      <c r="A296" s="76" t="s">
        <v>414</v>
      </c>
      <c r="B296" s="22" t="s">
        <v>507</v>
      </c>
      <c r="C296" s="144">
        <f>SUM(D296:J296)</f>
        <v>0</v>
      </c>
      <c r="D296" s="92"/>
      <c r="E296" s="92"/>
      <c r="F296" s="151"/>
      <c r="G296" s="151"/>
      <c r="H296" s="151"/>
      <c r="I296" s="151">
        <f>SUM(I291:I293)</f>
        <v>0</v>
      </c>
      <c r="J296" s="151"/>
      <c r="K296" s="55"/>
    </row>
    <row r="297" spans="1:11" s="7" customFormat="1" ht="15" customHeight="1">
      <c r="A297" s="76"/>
      <c r="B297" s="135"/>
      <c r="C297" s="143"/>
      <c r="D297" s="151"/>
      <c r="E297" s="151"/>
      <c r="F297" s="92"/>
      <c r="G297" s="151"/>
      <c r="H297" s="151"/>
      <c r="I297" s="151"/>
      <c r="J297" s="151"/>
      <c r="K297" s="55"/>
    </row>
    <row r="298" spans="1:11" s="6" customFormat="1" ht="15" customHeight="1">
      <c r="A298" s="125"/>
      <c r="B298" s="380" t="s">
        <v>1</v>
      </c>
      <c r="C298" s="381"/>
      <c r="D298" s="381"/>
      <c r="E298" s="381"/>
      <c r="F298" s="381"/>
      <c r="G298" s="381"/>
      <c r="H298" s="381"/>
      <c r="I298" s="381"/>
      <c r="J298" s="381"/>
      <c r="K298" s="382"/>
    </row>
    <row r="299" spans="1:11" s="7" customFormat="1" ht="15.75">
      <c r="A299" s="76" t="s">
        <v>415</v>
      </c>
      <c r="B299" s="26" t="s">
        <v>36</v>
      </c>
      <c r="C299" s="156">
        <f>SUM(C300:C301)</f>
        <v>99669.284</v>
      </c>
      <c r="D299" s="86">
        <f>SUM(D300:D301)</f>
        <v>3619.284</v>
      </c>
      <c r="E299" s="85">
        <f aca="true" t="shared" si="95" ref="E299:J299">SUM(E300:E301)</f>
        <v>7500</v>
      </c>
      <c r="F299" s="143">
        <f t="shared" si="95"/>
        <v>10000</v>
      </c>
      <c r="G299" s="153">
        <f t="shared" si="95"/>
        <v>32050</v>
      </c>
      <c r="H299" s="143">
        <f t="shared" si="95"/>
        <v>46500</v>
      </c>
      <c r="I299" s="153">
        <f t="shared" si="95"/>
        <v>0</v>
      </c>
      <c r="J299" s="153">
        <f t="shared" si="95"/>
        <v>0</v>
      </c>
      <c r="K299" s="57"/>
    </row>
    <row r="300" spans="1:11" s="7" customFormat="1" ht="15" customHeight="1">
      <c r="A300" s="76" t="s">
        <v>416</v>
      </c>
      <c r="B300" s="9" t="s">
        <v>7</v>
      </c>
      <c r="C300" s="156">
        <f>SUM(D300:J300)</f>
        <v>99669.284</v>
      </c>
      <c r="D300" s="87">
        <f aca="true" t="shared" si="96" ref="D300:J300">SUM(D305+D319)</f>
        <v>3619.284</v>
      </c>
      <c r="E300" s="83">
        <f t="shared" si="96"/>
        <v>7500</v>
      </c>
      <c r="F300" s="140">
        <f t="shared" si="96"/>
        <v>10000</v>
      </c>
      <c r="G300" s="155">
        <f t="shared" si="96"/>
        <v>32050</v>
      </c>
      <c r="H300" s="155">
        <f t="shared" si="96"/>
        <v>46500</v>
      </c>
      <c r="I300" s="155">
        <f t="shared" si="96"/>
        <v>0</v>
      </c>
      <c r="J300" s="155">
        <f t="shared" si="96"/>
        <v>0</v>
      </c>
      <c r="K300" s="51"/>
    </row>
    <row r="301" spans="1:11" s="7" customFormat="1" ht="15" customHeight="1">
      <c r="A301" s="76" t="s">
        <v>417</v>
      </c>
      <c r="B301" s="9" t="s">
        <v>9</v>
      </c>
      <c r="C301" s="156">
        <f>SUM(D301:J301)</f>
        <v>0</v>
      </c>
      <c r="D301" s="87">
        <f>SUM(D306)</f>
        <v>0</v>
      </c>
      <c r="E301" s="83">
        <f aca="true" t="shared" si="97" ref="E301:J301">SUM(E306)</f>
        <v>0</v>
      </c>
      <c r="F301" s="140">
        <f t="shared" si="97"/>
        <v>0</v>
      </c>
      <c r="G301" s="155">
        <f t="shared" si="97"/>
        <v>0</v>
      </c>
      <c r="H301" s="155">
        <f t="shared" si="97"/>
        <v>0</v>
      </c>
      <c r="I301" s="155">
        <f t="shared" si="97"/>
        <v>0</v>
      </c>
      <c r="J301" s="155">
        <f t="shared" si="97"/>
        <v>0</v>
      </c>
      <c r="K301" s="51"/>
    </row>
    <row r="302" spans="1:11" s="7" customFormat="1" ht="15" customHeight="1">
      <c r="A302" s="77"/>
      <c r="B302" s="5"/>
      <c r="C302" s="170"/>
      <c r="D302" s="116"/>
      <c r="E302" s="116"/>
      <c r="F302" s="152"/>
      <c r="G302" s="162"/>
      <c r="H302" s="162"/>
      <c r="I302" s="162"/>
      <c r="J302" s="162"/>
      <c r="K302" s="51"/>
    </row>
    <row r="303" spans="1:11" s="7" customFormat="1" ht="15" customHeight="1">
      <c r="A303" s="126"/>
      <c r="B303" s="389" t="s">
        <v>11</v>
      </c>
      <c r="C303" s="390"/>
      <c r="D303" s="390"/>
      <c r="E303" s="390"/>
      <c r="F303" s="390"/>
      <c r="G303" s="390"/>
      <c r="H303" s="390"/>
      <c r="I303" s="390"/>
      <c r="J303" s="390"/>
      <c r="K303" s="391"/>
    </row>
    <row r="304" spans="1:11" s="7" customFormat="1" ht="24" customHeight="1">
      <c r="A304" s="76" t="s">
        <v>418</v>
      </c>
      <c r="B304" s="26" t="s">
        <v>32</v>
      </c>
      <c r="C304" s="156">
        <f aca="true" t="shared" si="98" ref="C304:J304">SUM(C305:C306)</f>
        <v>93606.732</v>
      </c>
      <c r="D304" s="85">
        <f t="shared" si="98"/>
        <v>3606.732</v>
      </c>
      <c r="E304" s="85">
        <f t="shared" si="98"/>
        <v>7500</v>
      </c>
      <c r="F304" s="143">
        <f t="shared" si="98"/>
        <v>10000</v>
      </c>
      <c r="G304" s="143">
        <f t="shared" si="98"/>
        <v>32000</v>
      </c>
      <c r="H304" s="143">
        <f t="shared" si="98"/>
        <v>40500</v>
      </c>
      <c r="I304" s="143">
        <f t="shared" si="98"/>
        <v>0</v>
      </c>
      <c r="J304" s="143">
        <f t="shared" si="98"/>
        <v>0</v>
      </c>
      <c r="K304" s="51"/>
    </row>
    <row r="305" spans="1:11" s="7" customFormat="1" ht="15" customHeight="1">
      <c r="A305" s="76" t="s">
        <v>419</v>
      </c>
      <c r="B305" s="9" t="s">
        <v>7</v>
      </c>
      <c r="C305" s="156">
        <f>SUM(D305:J305)</f>
        <v>93606.732</v>
      </c>
      <c r="D305" s="83">
        <f>SUM(D310)</f>
        <v>3606.732</v>
      </c>
      <c r="E305" s="83">
        <f aca="true" t="shared" si="99" ref="E305:J305">SUM(E310)</f>
        <v>7500</v>
      </c>
      <c r="F305" s="140">
        <f t="shared" si="99"/>
        <v>10000</v>
      </c>
      <c r="G305" s="140">
        <f t="shared" si="99"/>
        <v>32000</v>
      </c>
      <c r="H305" s="140">
        <f t="shared" si="99"/>
        <v>40500</v>
      </c>
      <c r="I305" s="140">
        <f t="shared" si="99"/>
        <v>0</v>
      </c>
      <c r="J305" s="140">
        <f t="shared" si="99"/>
        <v>0</v>
      </c>
      <c r="K305" s="51"/>
    </row>
    <row r="306" spans="1:11" s="7" customFormat="1" ht="15" customHeight="1">
      <c r="A306" s="76" t="s">
        <v>420</v>
      </c>
      <c r="B306" s="9" t="s">
        <v>9</v>
      </c>
      <c r="C306" s="156">
        <f>SUM(D306:J306)</f>
        <v>0</v>
      </c>
      <c r="D306" s="87">
        <f>SUM(D311)</f>
        <v>0</v>
      </c>
      <c r="E306" s="83">
        <f aca="true" t="shared" si="100" ref="E306:J306">SUM(E311)</f>
        <v>0</v>
      </c>
      <c r="F306" s="140">
        <f t="shared" si="100"/>
        <v>0</v>
      </c>
      <c r="G306" s="155">
        <f t="shared" si="100"/>
        <v>0</v>
      </c>
      <c r="H306" s="155">
        <f t="shared" si="100"/>
        <v>0</v>
      </c>
      <c r="I306" s="155">
        <f t="shared" si="100"/>
        <v>0</v>
      </c>
      <c r="J306" s="155">
        <f t="shared" si="100"/>
        <v>0</v>
      </c>
      <c r="K306" s="51"/>
    </row>
    <row r="307" spans="1:11" s="7" customFormat="1" ht="15" customHeight="1">
      <c r="A307" s="77"/>
      <c r="B307" s="8"/>
      <c r="C307" s="153"/>
      <c r="D307" s="87"/>
      <c r="E307" s="87"/>
      <c r="F307" s="140"/>
      <c r="G307" s="155"/>
      <c r="H307" s="155"/>
      <c r="I307" s="155"/>
      <c r="J307" s="155"/>
      <c r="K307" s="51"/>
    </row>
    <row r="308" spans="1:11" s="7" customFormat="1" ht="15" customHeight="1">
      <c r="A308" s="127"/>
      <c r="B308" s="386" t="s">
        <v>23</v>
      </c>
      <c r="C308" s="387"/>
      <c r="D308" s="387"/>
      <c r="E308" s="387"/>
      <c r="F308" s="387"/>
      <c r="G308" s="387"/>
      <c r="H308" s="387"/>
      <c r="I308" s="387"/>
      <c r="J308" s="387"/>
      <c r="K308" s="388"/>
    </row>
    <row r="309" spans="1:11" s="25" customFormat="1" ht="31.5">
      <c r="A309" s="72" t="s">
        <v>421</v>
      </c>
      <c r="B309" s="27" t="s">
        <v>113</v>
      </c>
      <c r="C309" s="144">
        <f>SUM(D309:J309)</f>
        <v>93606.732</v>
      </c>
      <c r="D309" s="85">
        <f>SUM(D310:D311)</f>
        <v>3606.732</v>
      </c>
      <c r="E309" s="85">
        <f aca="true" t="shared" si="101" ref="E309:J309">SUM(E310:E311)</f>
        <v>7500</v>
      </c>
      <c r="F309" s="143">
        <f t="shared" si="101"/>
        <v>10000</v>
      </c>
      <c r="G309" s="143">
        <f t="shared" si="101"/>
        <v>32000</v>
      </c>
      <c r="H309" s="143">
        <f t="shared" si="101"/>
        <v>40500</v>
      </c>
      <c r="I309" s="143">
        <f t="shared" si="101"/>
        <v>0</v>
      </c>
      <c r="J309" s="143">
        <f t="shared" si="101"/>
        <v>0</v>
      </c>
      <c r="K309" s="54"/>
    </row>
    <row r="310" spans="1:11" s="13" customFormat="1" ht="15" customHeight="1">
      <c r="A310" s="72" t="s">
        <v>422</v>
      </c>
      <c r="B310" s="9" t="s">
        <v>7</v>
      </c>
      <c r="C310" s="156">
        <f>SUM(D310:J310)</f>
        <v>93606.732</v>
      </c>
      <c r="D310" s="83">
        <f>D314</f>
        <v>3606.732</v>
      </c>
      <c r="E310" s="83">
        <f aca="true" t="shared" si="102" ref="E310:J310">E314</f>
        <v>7500</v>
      </c>
      <c r="F310" s="140">
        <f>F314</f>
        <v>10000</v>
      </c>
      <c r="G310" s="140">
        <f t="shared" si="102"/>
        <v>32000</v>
      </c>
      <c r="H310" s="140">
        <f t="shared" si="102"/>
        <v>40500</v>
      </c>
      <c r="I310" s="140">
        <f t="shared" si="102"/>
        <v>0</v>
      </c>
      <c r="J310" s="140">
        <f t="shared" si="102"/>
        <v>0</v>
      </c>
      <c r="K310" s="55"/>
    </row>
    <row r="311" spans="1:11" s="7" customFormat="1" ht="15" customHeight="1">
      <c r="A311" s="72" t="s">
        <v>423</v>
      </c>
      <c r="B311" s="9" t="s">
        <v>9</v>
      </c>
      <c r="C311" s="156">
        <f>SUM(D311:J311)</f>
        <v>0</v>
      </c>
      <c r="D311" s="87">
        <f>D315</f>
        <v>0</v>
      </c>
      <c r="E311" s="83">
        <f aca="true" t="shared" si="103" ref="E311:J311">E315</f>
        <v>0</v>
      </c>
      <c r="F311" s="140">
        <f t="shared" si="103"/>
        <v>0</v>
      </c>
      <c r="G311" s="155">
        <f t="shared" si="103"/>
        <v>0</v>
      </c>
      <c r="H311" s="155">
        <f t="shared" si="103"/>
        <v>0</v>
      </c>
      <c r="I311" s="155">
        <f t="shared" si="103"/>
        <v>0</v>
      </c>
      <c r="J311" s="155">
        <f t="shared" si="103"/>
        <v>0</v>
      </c>
      <c r="K311" s="51"/>
    </row>
    <row r="312" spans="1:11" s="7" customFormat="1" ht="15" customHeight="1">
      <c r="A312" s="72"/>
      <c r="B312" s="10"/>
      <c r="C312" s="156"/>
      <c r="D312" s="87"/>
      <c r="E312" s="83"/>
      <c r="F312" s="140"/>
      <c r="G312" s="155"/>
      <c r="H312" s="155"/>
      <c r="I312" s="155"/>
      <c r="J312" s="155"/>
      <c r="K312" s="51"/>
    </row>
    <row r="313" spans="1:11" s="13" customFormat="1" ht="63" customHeight="1">
      <c r="A313" s="72" t="s">
        <v>424</v>
      </c>
      <c r="B313" s="27" t="s">
        <v>112</v>
      </c>
      <c r="C313" s="144">
        <f>SUM(D313:J313)</f>
        <v>93606.732</v>
      </c>
      <c r="D313" s="85">
        <f>SUM(D314:D315)</f>
        <v>3606.732</v>
      </c>
      <c r="E313" s="85">
        <f aca="true" t="shared" si="104" ref="E313:J313">SUM(E314:E315)</f>
        <v>7500</v>
      </c>
      <c r="F313" s="143">
        <f t="shared" si="104"/>
        <v>10000</v>
      </c>
      <c r="G313" s="143">
        <f t="shared" si="104"/>
        <v>32000</v>
      </c>
      <c r="H313" s="143">
        <f t="shared" si="104"/>
        <v>40500</v>
      </c>
      <c r="I313" s="143">
        <f t="shared" si="104"/>
        <v>0</v>
      </c>
      <c r="J313" s="143">
        <f t="shared" si="104"/>
        <v>0</v>
      </c>
      <c r="K313" s="55" t="s">
        <v>190</v>
      </c>
    </row>
    <row r="314" spans="1:11" s="13" customFormat="1" ht="15" customHeight="1">
      <c r="A314" s="72" t="s">
        <v>425</v>
      </c>
      <c r="B314" s="22" t="s">
        <v>7</v>
      </c>
      <c r="C314" s="144">
        <f>SUM(D314:J314)</f>
        <v>93606.732</v>
      </c>
      <c r="D314" s="83">
        <v>3606.732</v>
      </c>
      <c r="E314" s="83">
        <f>15000-3000-5000+500</f>
        <v>7500</v>
      </c>
      <c r="F314" s="140">
        <f>15000-5000</f>
        <v>10000</v>
      </c>
      <c r="G314" s="374">
        <f>10000+22000</f>
        <v>32000</v>
      </c>
      <c r="H314" s="140">
        <f>36000+4500</f>
        <v>40500</v>
      </c>
      <c r="I314" s="140">
        <f>4500-4500</f>
        <v>0</v>
      </c>
      <c r="J314" s="140"/>
      <c r="K314" s="55"/>
    </row>
    <row r="315" spans="1:11" s="13" customFormat="1" ht="15" customHeight="1">
      <c r="A315" s="72" t="s">
        <v>426</v>
      </c>
      <c r="B315" s="22" t="s">
        <v>9</v>
      </c>
      <c r="C315" s="144">
        <f>SUM(D315:J315)</f>
        <v>0</v>
      </c>
      <c r="D315" s="83"/>
      <c r="E315" s="83"/>
      <c r="F315" s="140"/>
      <c r="G315" s="140"/>
      <c r="H315" s="140"/>
      <c r="I315" s="140"/>
      <c r="J315" s="140"/>
      <c r="K315" s="55"/>
    </row>
    <row r="316" spans="1:11" s="7" customFormat="1" ht="15" customHeight="1">
      <c r="A316" s="77"/>
      <c r="B316" s="8"/>
      <c r="C316" s="153"/>
      <c r="D316" s="87"/>
      <c r="E316" s="83"/>
      <c r="F316" s="140"/>
      <c r="G316" s="155"/>
      <c r="H316" s="155"/>
      <c r="I316" s="155"/>
      <c r="J316" s="155"/>
      <c r="K316" s="51"/>
    </row>
    <row r="317" spans="1:11" s="7" customFormat="1" ht="15" customHeight="1">
      <c r="A317" s="126"/>
      <c r="B317" s="389" t="s">
        <v>15</v>
      </c>
      <c r="C317" s="390"/>
      <c r="D317" s="390"/>
      <c r="E317" s="390"/>
      <c r="F317" s="390"/>
      <c r="G317" s="390"/>
      <c r="H317" s="390"/>
      <c r="I317" s="390"/>
      <c r="J317" s="390"/>
      <c r="K317" s="391"/>
    </row>
    <row r="318" spans="1:11" s="7" customFormat="1" ht="15.75">
      <c r="A318" s="76" t="s">
        <v>427</v>
      </c>
      <c r="B318" s="26" t="s">
        <v>16</v>
      </c>
      <c r="C318" s="156">
        <f>SUM(C319)</f>
        <v>6062.552</v>
      </c>
      <c r="D318" s="86">
        <f>SUM(D319:D319)</f>
        <v>12.552</v>
      </c>
      <c r="E318" s="85">
        <f aca="true" t="shared" si="105" ref="E318:J318">SUM(E319:E319)</f>
        <v>0</v>
      </c>
      <c r="F318" s="143">
        <f t="shared" si="105"/>
        <v>0</v>
      </c>
      <c r="G318" s="153">
        <f t="shared" si="105"/>
        <v>50</v>
      </c>
      <c r="H318" s="153">
        <f t="shared" si="105"/>
        <v>6000</v>
      </c>
      <c r="I318" s="153">
        <f t="shared" si="105"/>
        <v>0</v>
      </c>
      <c r="J318" s="153">
        <f t="shared" si="105"/>
        <v>0</v>
      </c>
      <c r="K318" s="51"/>
    </row>
    <row r="319" spans="1:11" s="7" customFormat="1" ht="15" customHeight="1">
      <c r="A319" s="76" t="s">
        <v>428</v>
      </c>
      <c r="B319" s="9" t="s">
        <v>7</v>
      </c>
      <c r="C319" s="156">
        <f>SUM(D319:J319)</f>
        <v>6062.552</v>
      </c>
      <c r="D319" s="88">
        <f aca="true" t="shared" si="106" ref="D319:J319">SUM(D322+D325+D328)</f>
        <v>12.552</v>
      </c>
      <c r="E319" s="88">
        <f t="shared" si="106"/>
        <v>0</v>
      </c>
      <c r="F319" s="148">
        <f t="shared" si="106"/>
        <v>0</v>
      </c>
      <c r="G319" s="148">
        <f t="shared" si="106"/>
        <v>50</v>
      </c>
      <c r="H319" s="148">
        <f t="shared" si="106"/>
        <v>6000</v>
      </c>
      <c r="I319" s="148">
        <f t="shared" si="106"/>
        <v>0</v>
      </c>
      <c r="J319" s="148">
        <f t="shared" si="106"/>
        <v>0</v>
      </c>
      <c r="K319" s="51"/>
    </row>
    <row r="320" spans="1:11" s="7" customFormat="1" ht="15" customHeight="1">
      <c r="A320" s="76"/>
      <c r="B320" s="11"/>
      <c r="C320" s="171"/>
      <c r="D320" s="116"/>
      <c r="E320" s="117"/>
      <c r="F320" s="152"/>
      <c r="G320" s="162"/>
      <c r="H320" s="162"/>
      <c r="I320" s="162"/>
      <c r="J320" s="162"/>
      <c r="K320" s="51"/>
    </row>
    <row r="321" spans="1:11" s="13" customFormat="1" ht="52.5" customHeight="1">
      <c r="A321" s="72" t="s">
        <v>429</v>
      </c>
      <c r="B321" s="27" t="s">
        <v>114</v>
      </c>
      <c r="C321" s="144">
        <f>SUM(C322)</f>
        <v>51.552</v>
      </c>
      <c r="D321" s="85">
        <f>SUM(D322:D322)</f>
        <v>1.552</v>
      </c>
      <c r="E321" s="85">
        <f aca="true" t="shared" si="107" ref="E321:J321">SUM(E322:E322)</f>
        <v>0</v>
      </c>
      <c r="F321" s="143">
        <f t="shared" si="107"/>
        <v>0</v>
      </c>
      <c r="G321" s="143">
        <f t="shared" si="107"/>
        <v>50</v>
      </c>
      <c r="H321" s="143">
        <f t="shared" si="107"/>
        <v>0</v>
      </c>
      <c r="I321" s="143">
        <f t="shared" si="107"/>
        <v>0</v>
      </c>
      <c r="J321" s="143">
        <f t="shared" si="107"/>
        <v>0</v>
      </c>
      <c r="K321" s="55" t="s">
        <v>191</v>
      </c>
    </row>
    <row r="322" spans="1:11" s="13" customFormat="1" ht="15" customHeight="1">
      <c r="A322" s="72" t="s">
        <v>430</v>
      </c>
      <c r="B322" s="22" t="s">
        <v>7</v>
      </c>
      <c r="C322" s="144">
        <f>SUM(D322:J322)</f>
        <v>51.552</v>
      </c>
      <c r="D322" s="68">
        <v>1.552</v>
      </c>
      <c r="E322" s="68">
        <v>0</v>
      </c>
      <c r="F322" s="148">
        <v>0</v>
      </c>
      <c r="G322" s="148">
        <v>50</v>
      </c>
      <c r="H322" s="148"/>
      <c r="I322" s="148"/>
      <c r="J322" s="148"/>
      <c r="K322" s="55"/>
    </row>
    <row r="323" spans="1:11" s="7" customFormat="1" ht="15" customHeight="1">
      <c r="A323" s="76"/>
      <c r="B323" s="9"/>
      <c r="C323" s="156"/>
      <c r="D323" s="68"/>
      <c r="E323" s="68"/>
      <c r="F323" s="148"/>
      <c r="G323" s="159"/>
      <c r="H323" s="159"/>
      <c r="I323" s="159"/>
      <c r="J323" s="159"/>
      <c r="K323" s="55"/>
    </row>
    <row r="324" spans="1:11" s="13" customFormat="1" ht="51" customHeight="1">
      <c r="A324" s="72" t="s">
        <v>431</v>
      </c>
      <c r="B324" s="27" t="s">
        <v>115</v>
      </c>
      <c r="C324" s="144">
        <f>SUM(C325)</f>
        <v>11</v>
      </c>
      <c r="D324" s="85">
        <f>SUM(D325:D325)</f>
        <v>11</v>
      </c>
      <c r="E324" s="85">
        <f aca="true" t="shared" si="108" ref="E324:J324">SUM(E325:E325)</f>
        <v>0</v>
      </c>
      <c r="F324" s="143">
        <f t="shared" si="108"/>
        <v>0</v>
      </c>
      <c r="G324" s="143">
        <f t="shared" si="108"/>
        <v>0</v>
      </c>
      <c r="H324" s="143">
        <f t="shared" si="108"/>
        <v>0</v>
      </c>
      <c r="I324" s="143">
        <f t="shared" si="108"/>
        <v>0</v>
      </c>
      <c r="J324" s="143">
        <f t="shared" si="108"/>
        <v>0</v>
      </c>
      <c r="K324" s="55" t="s">
        <v>192</v>
      </c>
    </row>
    <row r="325" spans="1:11" s="13" customFormat="1" ht="15" customHeight="1">
      <c r="A325" s="72" t="s">
        <v>432</v>
      </c>
      <c r="B325" s="22" t="s">
        <v>7</v>
      </c>
      <c r="C325" s="144">
        <f>SUM(D325:J325)</f>
        <v>11</v>
      </c>
      <c r="D325" s="68">
        <f>150-139</f>
        <v>11</v>
      </c>
      <c r="E325" s="68">
        <v>0</v>
      </c>
      <c r="F325" s="148">
        <v>0</v>
      </c>
      <c r="G325" s="148">
        <v>0</v>
      </c>
      <c r="H325" s="148"/>
      <c r="I325" s="148"/>
      <c r="J325" s="148"/>
      <c r="K325" s="55"/>
    </row>
    <row r="326" spans="1:11" s="13" customFormat="1" ht="15" customHeight="1">
      <c r="A326" s="72"/>
      <c r="B326" s="65"/>
      <c r="C326" s="144"/>
      <c r="D326" s="68"/>
      <c r="E326" s="68"/>
      <c r="F326" s="148"/>
      <c r="G326" s="148"/>
      <c r="H326" s="148"/>
      <c r="I326" s="148"/>
      <c r="J326" s="148"/>
      <c r="K326" s="55"/>
    </row>
    <row r="327" spans="1:11" s="13" customFormat="1" ht="51" customHeight="1">
      <c r="A327" s="76" t="s">
        <v>433</v>
      </c>
      <c r="B327" s="27" t="s">
        <v>529</v>
      </c>
      <c r="C327" s="144">
        <f>SUM(C328)</f>
        <v>6000</v>
      </c>
      <c r="D327" s="85">
        <f>SUM(D328:D328)</f>
        <v>0</v>
      </c>
      <c r="E327" s="85">
        <f aca="true" t="shared" si="109" ref="E327:J327">SUM(E328:E328)</f>
        <v>0</v>
      </c>
      <c r="F327" s="143">
        <f t="shared" si="109"/>
        <v>0</v>
      </c>
      <c r="G327" s="143">
        <f t="shared" si="109"/>
        <v>0</v>
      </c>
      <c r="H327" s="143">
        <f t="shared" si="109"/>
        <v>6000</v>
      </c>
      <c r="I327" s="143">
        <f t="shared" si="109"/>
        <v>0</v>
      </c>
      <c r="J327" s="143">
        <f t="shared" si="109"/>
        <v>0</v>
      </c>
      <c r="K327" s="55" t="s">
        <v>722</v>
      </c>
    </row>
    <row r="328" spans="1:11" s="13" customFormat="1" ht="15" customHeight="1">
      <c r="A328" s="76" t="s">
        <v>434</v>
      </c>
      <c r="B328" s="22" t="s">
        <v>7</v>
      </c>
      <c r="C328" s="144">
        <f>SUM(D328:J328)</f>
        <v>6000</v>
      </c>
      <c r="D328" s="68"/>
      <c r="E328" s="68"/>
      <c r="F328" s="148"/>
      <c r="G328" s="148"/>
      <c r="H328" s="148">
        <v>6000</v>
      </c>
      <c r="I328" s="148"/>
      <c r="J328" s="148"/>
      <c r="K328" s="55"/>
    </row>
    <row r="329" spans="1:11" s="7" customFormat="1" ht="15" customHeight="1">
      <c r="A329" s="77"/>
      <c r="B329" s="8"/>
      <c r="C329" s="153"/>
      <c r="D329" s="88"/>
      <c r="E329" s="68"/>
      <c r="F329" s="148"/>
      <c r="G329" s="159"/>
      <c r="H329" s="159"/>
      <c r="I329" s="159"/>
      <c r="J329" s="159"/>
      <c r="K329" s="51"/>
    </row>
    <row r="330" spans="1:11" s="6" customFormat="1" ht="15" customHeight="1">
      <c r="A330" s="125"/>
      <c r="B330" s="380" t="s">
        <v>2</v>
      </c>
      <c r="C330" s="381"/>
      <c r="D330" s="381"/>
      <c r="E330" s="381"/>
      <c r="F330" s="381"/>
      <c r="G330" s="381"/>
      <c r="H330" s="381"/>
      <c r="I330" s="381"/>
      <c r="J330" s="381"/>
      <c r="K330" s="382"/>
    </row>
    <row r="331" spans="1:11" s="7" customFormat="1" ht="15.75">
      <c r="A331" s="76" t="s">
        <v>435</v>
      </c>
      <c r="B331" s="26" t="s">
        <v>37</v>
      </c>
      <c r="C331" s="156">
        <f>SUM(C332:C335)</f>
        <v>174858.347</v>
      </c>
      <c r="D331" s="86">
        <f>SUM(D332:D335)</f>
        <v>21288.949999999997</v>
      </c>
      <c r="E331" s="85">
        <f aca="true" t="shared" si="110" ref="E331:J331">SUM(E332:E335)</f>
        <v>29337.197</v>
      </c>
      <c r="F331" s="143">
        <f t="shared" si="110"/>
        <v>23899.6</v>
      </c>
      <c r="G331" s="153">
        <f t="shared" si="110"/>
        <v>26943.8</v>
      </c>
      <c r="H331" s="153">
        <f t="shared" si="110"/>
        <v>23453.5</v>
      </c>
      <c r="I331" s="153">
        <f t="shared" si="110"/>
        <v>25234</v>
      </c>
      <c r="J331" s="153">
        <f t="shared" si="110"/>
        <v>24701.300000000003</v>
      </c>
      <c r="K331" s="51"/>
    </row>
    <row r="332" spans="1:11" s="7" customFormat="1" ht="15" customHeight="1">
      <c r="A332" s="76" t="s">
        <v>436</v>
      </c>
      <c r="B332" s="9" t="s">
        <v>7</v>
      </c>
      <c r="C332" s="156">
        <f>SUM(D332:J332)</f>
        <v>84263.316</v>
      </c>
      <c r="D332" s="88">
        <f aca="true" t="shared" si="111" ref="D332:J332">SUM(D338+D344)</f>
        <v>9510.15</v>
      </c>
      <c r="E332" s="68">
        <f t="shared" si="111"/>
        <v>12406.866</v>
      </c>
      <c r="F332" s="148">
        <f t="shared" si="111"/>
        <v>11267.6</v>
      </c>
      <c r="G332" s="159">
        <f t="shared" si="111"/>
        <v>12756.5</v>
      </c>
      <c r="H332" s="159">
        <f t="shared" si="111"/>
        <v>12220</v>
      </c>
      <c r="I332" s="159">
        <f t="shared" si="111"/>
        <v>13551.1</v>
      </c>
      <c r="J332" s="159">
        <f t="shared" si="111"/>
        <v>12551.1</v>
      </c>
      <c r="K332" s="51"/>
    </row>
    <row r="333" spans="1:11" s="7" customFormat="1" ht="15" customHeight="1">
      <c r="A333" s="76" t="s">
        <v>437</v>
      </c>
      <c r="B333" s="9" t="s">
        <v>8</v>
      </c>
      <c r="C333" s="156">
        <f>SUM(D333:J333)</f>
        <v>0</v>
      </c>
      <c r="D333" s="88"/>
      <c r="E333" s="68"/>
      <c r="F333" s="148"/>
      <c r="G333" s="159"/>
      <c r="H333" s="159"/>
      <c r="I333" s="159"/>
      <c r="J333" s="159"/>
      <c r="K333" s="51"/>
    </row>
    <row r="334" spans="1:11" s="7" customFormat="1" ht="15" customHeight="1">
      <c r="A334" s="76" t="s">
        <v>438</v>
      </c>
      <c r="B334" s="9" t="s">
        <v>9</v>
      </c>
      <c r="C334" s="156">
        <f>SUM(D334:J334)</f>
        <v>90595.03099999999</v>
      </c>
      <c r="D334" s="88">
        <f>SUM(D346)</f>
        <v>11778.8</v>
      </c>
      <c r="E334" s="68">
        <f aca="true" t="shared" si="112" ref="E334:J334">SUM(E346)</f>
        <v>16930.331</v>
      </c>
      <c r="F334" s="148">
        <f t="shared" si="112"/>
        <v>12632</v>
      </c>
      <c r="G334" s="159">
        <f t="shared" si="112"/>
        <v>14187.3</v>
      </c>
      <c r="H334" s="159">
        <f t="shared" si="112"/>
        <v>11233.5</v>
      </c>
      <c r="I334" s="159">
        <f t="shared" si="112"/>
        <v>11682.9</v>
      </c>
      <c r="J334" s="159">
        <f t="shared" si="112"/>
        <v>12150.2</v>
      </c>
      <c r="K334" s="51"/>
    </row>
    <row r="335" spans="1:11" s="7" customFormat="1" ht="15" customHeight="1">
      <c r="A335" s="76" t="s">
        <v>439</v>
      </c>
      <c r="B335" s="9" t="s">
        <v>10</v>
      </c>
      <c r="C335" s="156">
        <f>SUM(D335:J335)</f>
        <v>0</v>
      </c>
      <c r="D335" s="159"/>
      <c r="E335" s="148"/>
      <c r="F335" s="148"/>
      <c r="G335" s="159"/>
      <c r="H335" s="159"/>
      <c r="I335" s="159"/>
      <c r="J335" s="159"/>
      <c r="K335" s="51"/>
    </row>
    <row r="336" spans="1:11" s="7" customFormat="1" ht="15" customHeight="1">
      <c r="A336" s="128"/>
      <c r="B336" s="399" t="s">
        <v>11</v>
      </c>
      <c r="C336" s="400"/>
      <c r="D336" s="400"/>
      <c r="E336" s="400"/>
      <c r="F336" s="400"/>
      <c r="G336" s="400"/>
      <c r="H336" s="400"/>
      <c r="I336" s="400"/>
      <c r="J336" s="400"/>
      <c r="K336" s="401"/>
    </row>
    <row r="337" spans="1:11" s="7" customFormat="1" ht="19.5" customHeight="1">
      <c r="A337" s="76" t="s">
        <v>440</v>
      </c>
      <c r="B337" s="26" t="s">
        <v>32</v>
      </c>
      <c r="C337" s="156">
        <v>0</v>
      </c>
      <c r="D337" s="86"/>
      <c r="E337" s="86"/>
      <c r="F337" s="143"/>
      <c r="G337" s="153"/>
      <c r="H337" s="153"/>
      <c r="I337" s="153"/>
      <c r="J337" s="153"/>
      <c r="K337" s="51"/>
    </row>
    <row r="338" spans="1:11" s="7" customFormat="1" ht="15" customHeight="1">
      <c r="A338" s="76" t="s">
        <v>441</v>
      </c>
      <c r="B338" s="9" t="s">
        <v>7</v>
      </c>
      <c r="C338" s="156">
        <f>SUM(D338:J338)</f>
        <v>0</v>
      </c>
      <c r="D338" s="88"/>
      <c r="E338" s="88"/>
      <c r="F338" s="148"/>
      <c r="G338" s="159"/>
      <c r="H338" s="159"/>
      <c r="I338" s="159"/>
      <c r="J338" s="159"/>
      <c r="K338" s="51"/>
    </row>
    <row r="339" spans="1:11" s="7" customFormat="1" ht="15" customHeight="1">
      <c r="A339" s="129"/>
      <c r="B339" s="402" t="s">
        <v>12</v>
      </c>
      <c r="C339" s="403"/>
      <c r="D339" s="403"/>
      <c r="E339" s="403"/>
      <c r="F339" s="403"/>
      <c r="G339" s="403"/>
      <c r="H339" s="403"/>
      <c r="I339" s="403"/>
      <c r="J339" s="403"/>
      <c r="K339" s="404"/>
    </row>
    <row r="340" spans="1:11" s="7" customFormat="1" ht="48.75" customHeight="1">
      <c r="A340" s="76" t="s">
        <v>442</v>
      </c>
      <c r="B340" s="26" t="s">
        <v>101</v>
      </c>
      <c r="C340" s="156">
        <v>0</v>
      </c>
      <c r="D340" s="86"/>
      <c r="E340" s="86"/>
      <c r="F340" s="143"/>
      <c r="G340" s="153"/>
      <c r="H340" s="153"/>
      <c r="I340" s="153"/>
      <c r="J340" s="153"/>
      <c r="K340" s="51"/>
    </row>
    <row r="341" spans="1:11" s="7" customFormat="1" ht="15" customHeight="1">
      <c r="A341" s="76" t="s">
        <v>443</v>
      </c>
      <c r="B341" s="9" t="s">
        <v>7</v>
      </c>
      <c r="C341" s="156">
        <f>SUM(D341:J341)</f>
        <v>0</v>
      </c>
      <c r="D341" s="88"/>
      <c r="E341" s="88"/>
      <c r="F341" s="148"/>
      <c r="G341" s="159"/>
      <c r="H341" s="159"/>
      <c r="I341" s="159"/>
      <c r="J341" s="159"/>
      <c r="K341" s="51"/>
    </row>
    <row r="342" spans="1:11" s="7" customFormat="1" ht="15" customHeight="1">
      <c r="A342" s="126"/>
      <c r="B342" s="389" t="s">
        <v>15</v>
      </c>
      <c r="C342" s="390"/>
      <c r="D342" s="390"/>
      <c r="E342" s="390"/>
      <c r="F342" s="390"/>
      <c r="G342" s="390"/>
      <c r="H342" s="390"/>
      <c r="I342" s="390"/>
      <c r="J342" s="390"/>
      <c r="K342" s="391"/>
    </row>
    <row r="343" spans="1:11" s="7" customFormat="1" ht="15.75">
      <c r="A343" s="76" t="s">
        <v>444</v>
      </c>
      <c r="B343" s="26" t="s">
        <v>16</v>
      </c>
      <c r="C343" s="156">
        <f>SUM(C344:C346)</f>
        <v>174858.347</v>
      </c>
      <c r="D343" s="85">
        <f aca="true" t="shared" si="113" ref="D343:J343">SUM(D344:D346)</f>
        <v>21288.949999999997</v>
      </c>
      <c r="E343" s="85">
        <f t="shared" si="113"/>
        <v>29337.197</v>
      </c>
      <c r="F343" s="143">
        <f t="shared" si="113"/>
        <v>23899.6</v>
      </c>
      <c r="G343" s="153">
        <f t="shared" si="113"/>
        <v>26943.8</v>
      </c>
      <c r="H343" s="153">
        <f t="shared" si="113"/>
        <v>23453.5</v>
      </c>
      <c r="I343" s="153">
        <f t="shared" si="113"/>
        <v>25234</v>
      </c>
      <c r="J343" s="153">
        <f t="shared" si="113"/>
        <v>24701.300000000003</v>
      </c>
      <c r="K343" s="51"/>
    </row>
    <row r="344" spans="1:11" s="7" customFormat="1" ht="15" customHeight="1">
      <c r="A344" s="76" t="s">
        <v>445</v>
      </c>
      <c r="B344" s="9" t="s">
        <v>7</v>
      </c>
      <c r="C344" s="156">
        <f>SUM(D344:J344)</f>
        <v>84263.316</v>
      </c>
      <c r="D344" s="68">
        <f aca="true" t="shared" si="114" ref="D344:J344">SUM(D349+D353+D356+D360)</f>
        <v>9510.15</v>
      </c>
      <c r="E344" s="68">
        <f>SUM(E349+E353+E356+E360)</f>
        <v>12406.866</v>
      </c>
      <c r="F344" s="148">
        <f t="shared" si="114"/>
        <v>11267.6</v>
      </c>
      <c r="G344" s="159">
        <f t="shared" si="114"/>
        <v>12756.5</v>
      </c>
      <c r="H344" s="159">
        <f t="shared" si="114"/>
        <v>12220</v>
      </c>
      <c r="I344" s="159">
        <f t="shared" si="114"/>
        <v>13551.1</v>
      </c>
      <c r="J344" s="159">
        <f t="shared" si="114"/>
        <v>12551.1</v>
      </c>
      <c r="K344" s="51"/>
    </row>
    <row r="345" spans="1:11" s="7" customFormat="1" ht="15" customHeight="1">
      <c r="A345" s="76" t="s">
        <v>446</v>
      </c>
      <c r="B345" s="9" t="s">
        <v>8</v>
      </c>
      <c r="C345" s="156">
        <f>SUM(D345:J345)</f>
        <v>0</v>
      </c>
      <c r="D345" s="68"/>
      <c r="E345" s="68"/>
      <c r="F345" s="148"/>
      <c r="G345" s="159"/>
      <c r="H345" s="159"/>
      <c r="I345" s="159"/>
      <c r="J345" s="159"/>
      <c r="K345" s="51"/>
    </row>
    <row r="346" spans="1:11" s="7" customFormat="1" ht="15" customHeight="1">
      <c r="A346" s="76" t="s">
        <v>447</v>
      </c>
      <c r="B346" s="9" t="s">
        <v>9</v>
      </c>
      <c r="C346" s="156">
        <f>SUM(D346:J346)</f>
        <v>90595.03099999999</v>
      </c>
      <c r="D346" s="68">
        <f aca="true" t="shared" si="115" ref="D346:J346">SUM(D357+D350+D361)</f>
        <v>11778.8</v>
      </c>
      <c r="E346" s="68">
        <f t="shared" si="115"/>
        <v>16930.331</v>
      </c>
      <c r="F346" s="148">
        <f t="shared" si="115"/>
        <v>12632</v>
      </c>
      <c r="G346" s="148">
        <f t="shared" si="115"/>
        <v>14187.3</v>
      </c>
      <c r="H346" s="148">
        <f t="shared" si="115"/>
        <v>11233.5</v>
      </c>
      <c r="I346" s="148">
        <f t="shared" si="115"/>
        <v>11682.9</v>
      </c>
      <c r="J346" s="148">
        <f t="shared" si="115"/>
        <v>12150.2</v>
      </c>
      <c r="K346" s="51"/>
    </row>
    <row r="347" spans="1:11" s="7" customFormat="1" ht="15" customHeight="1">
      <c r="A347" s="76"/>
      <c r="B347" s="9"/>
      <c r="C347" s="156"/>
      <c r="D347" s="68"/>
      <c r="E347" s="68"/>
      <c r="F347" s="148"/>
      <c r="G347" s="159"/>
      <c r="H347" s="159"/>
      <c r="I347" s="159"/>
      <c r="J347" s="159"/>
      <c r="K347" s="51"/>
    </row>
    <row r="348" spans="1:11" s="13" customFormat="1" ht="83.25" customHeight="1">
      <c r="A348" s="72" t="s">
        <v>448</v>
      </c>
      <c r="B348" s="27" t="s">
        <v>33</v>
      </c>
      <c r="C348" s="144">
        <f>SUM(C349:C350)</f>
        <v>29154.7</v>
      </c>
      <c r="D348" s="85">
        <f>SUM(D349:D350)</f>
        <v>3671.3</v>
      </c>
      <c r="E348" s="85">
        <f aca="true" t="shared" si="116" ref="E348:J348">SUM(E349:E350)</f>
        <v>9203.4</v>
      </c>
      <c r="F348" s="143">
        <f t="shared" si="116"/>
        <v>3683.4</v>
      </c>
      <c r="G348" s="143">
        <f t="shared" si="116"/>
        <v>6096.6</v>
      </c>
      <c r="H348" s="143">
        <f t="shared" si="116"/>
        <v>2000</v>
      </c>
      <c r="I348" s="143">
        <f t="shared" si="116"/>
        <v>2500</v>
      </c>
      <c r="J348" s="143">
        <f t="shared" si="116"/>
        <v>2000</v>
      </c>
      <c r="K348" s="55" t="s">
        <v>193</v>
      </c>
    </row>
    <row r="349" spans="1:11" s="13" customFormat="1" ht="15" customHeight="1">
      <c r="A349" s="72" t="s">
        <v>449</v>
      </c>
      <c r="B349" s="22" t="s">
        <v>7</v>
      </c>
      <c r="C349" s="144">
        <f>SUM(D349:J349)</f>
        <v>17991.7</v>
      </c>
      <c r="D349" s="68">
        <v>2000</v>
      </c>
      <c r="E349" s="68">
        <f>2000+1001.7+1600</f>
        <v>4601.7</v>
      </c>
      <c r="F349" s="148">
        <f>2000-158.3</f>
        <v>1841.7</v>
      </c>
      <c r="G349" s="148">
        <f>2000+1048.3</f>
        <v>3048.3</v>
      </c>
      <c r="H349" s="148">
        <v>2000</v>
      </c>
      <c r="I349" s="148">
        <v>2500</v>
      </c>
      <c r="J349" s="148">
        <f>2500-500</f>
        <v>2000</v>
      </c>
      <c r="K349" s="55"/>
    </row>
    <row r="350" spans="1:11" s="13" customFormat="1" ht="15" customHeight="1">
      <c r="A350" s="72" t="s">
        <v>450</v>
      </c>
      <c r="B350" s="65" t="s">
        <v>9</v>
      </c>
      <c r="C350" s="144">
        <f>SUM(D350:J350)</f>
        <v>11163</v>
      </c>
      <c r="D350" s="68">
        <f>1671.4-0.1</f>
        <v>1671.3000000000002</v>
      </c>
      <c r="E350" s="68">
        <f>4601.7</f>
        <v>4601.7</v>
      </c>
      <c r="F350" s="148">
        <f>1841.7</f>
        <v>1841.7</v>
      </c>
      <c r="G350" s="148">
        <f>3048.3</f>
        <v>3048.3</v>
      </c>
      <c r="H350" s="148"/>
      <c r="I350" s="148"/>
      <c r="J350" s="148"/>
      <c r="K350" s="55"/>
    </row>
    <row r="351" spans="1:11" s="13" customFormat="1" ht="15" customHeight="1">
      <c r="A351" s="72"/>
      <c r="B351" s="65"/>
      <c r="C351" s="144"/>
      <c r="D351" s="68"/>
      <c r="E351" s="68"/>
      <c r="F351" s="148"/>
      <c r="G351" s="148"/>
      <c r="H351" s="148"/>
      <c r="I351" s="148"/>
      <c r="J351" s="148"/>
      <c r="K351" s="55"/>
    </row>
    <row r="352" spans="1:11" s="13" customFormat="1" ht="50.25" customHeight="1">
      <c r="A352" s="72" t="s">
        <v>451</v>
      </c>
      <c r="B352" s="27" t="s">
        <v>38</v>
      </c>
      <c r="C352" s="144">
        <f>SUM(C353)</f>
        <v>13708.3</v>
      </c>
      <c r="D352" s="85">
        <f aca="true" t="shared" si="117" ref="D352:J352">SUM(D353:D353)</f>
        <v>1600</v>
      </c>
      <c r="E352" s="85">
        <f t="shared" si="117"/>
        <v>1450</v>
      </c>
      <c r="F352" s="143">
        <f t="shared" si="117"/>
        <v>2158.3</v>
      </c>
      <c r="G352" s="143">
        <f t="shared" si="117"/>
        <v>2000</v>
      </c>
      <c r="H352" s="143">
        <f t="shared" si="117"/>
        <v>2000</v>
      </c>
      <c r="I352" s="143">
        <f t="shared" si="117"/>
        <v>2500</v>
      </c>
      <c r="J352" s="143">
        <f t="shared" si="117"/>
        <v>2000</v>
      </c>
      <c r="K352" s="55" t="s">
        <v>208</v>
      </c>
    </row>
    <row r="353" spans="1:11" s="13" customFormat="1" ht="15" customHeight="1">
      <c r="A353" s="72" t="s">
        <v>452</v>
      </c>
      <c r="B353" s="22" t="s">
        <v>7</v>
      </c>
      <c r="C353" s="144">
        <f>SUM(D353:J353)</f>
        <v>13708.3</v>
      </c>
      <c r="D353" s="68">
        <f>2000-400</f>
        <v>1600</v>
      </c>
      <c r="E353" s="68">
        <v>1450</v>
      </c>
      <c r="F353" s="148">
        <f>2000+158.3</f>
        <v>2158.3</v>
      </c>
      <c r="G353" s="148">
        <v>2000</v>
      </c>
      <c r="H353" s="148">
        <v>2000</v>
      </c>
      <c r="I353" s="148">
        <v>2500</v>
      </c>
      <c r="J353" s="148">
        <f>2500-500</f>
        <v>2000</v>
      </c>
      <c r="K353" s="55"/>
    </row>
    <row r="354" spans="1:11" s="7" customFormat="1" ht="15" customHeight="1">
      <c r="A354" s="76"/>
      <c r="B354" s="9"/>
      <c r="C354" s="156"/>
      <c r="D354" s="68"/>
      <c r="E354" s="68"/>
      <c r="F354" s="148"/>
      <c r="G354" s="159"/>
      <c r="H354" s="159"/>
      <c r="I354" s="159"/>
      <c r="J354" s="159"/>
      <c r="K354" s="51"/>
    </row>
    <row r="355" spans="1:11" s="13" customFormat="1" ht="50.25" customHeight="1">
      <c r="A355" s="72" t="s">
        <v>453</v>
      </c>
      <c r="B355" s="27" t="s">
        <v>34</v>
      </c>
      <c r="C355" s="144">
        <f>SUM(C356:C357)</f>
        <v>114146.026</v>
      </c>
      <c r="D355" s="85">
        <f>SUM(D356:D357)</f>
        <v>14317.66</v>
      </c>
      <c r="E355" s="85">
        <f aca="true" t="shared" si="118" ref="E355:J355">SUM(E356:E357)</f>
        <v>15015.466</v>
      </c>
      <c r="F355" s="143">
        <f t="shared" si="118"/>
        <v>15947.3</v>
      </c>
      <c r="G355" s="143">
        <f t="shared" si="118"/>
        <v>16639</v>
      </c>
      <c r="H355" s="143">
        <f t="shared" si="118"/>
        <v>16953.5</v>
      </c>
      <c r="I355" s="143">
        <f t="shared" si="118"/>
        <v>17402.9</v>
      </c>
      <c r="J355" s="143">
        <f t="shared" si="118"/>
        <v>17870.2</v>
      </c>
      <c r="K355" s="55" t="s">
        <v>481</v>
      </c>
    </row>
    <row r="356" spans="1:11" s="13" customFormat="1" ht="15" customHeight="1">
      <c r="A356" s="72" t="s">
        <v>454</v>
      </c>
      <c r="B356" s="22" t="s">
        <v>7</v>
      </c>
      <c r="C356" s="144">
        <f>SUM(D356:J356)</f>
        <v>36252.326</v>
      </c>
      <c r="D356" s="83">
        <v>4210.16</v>
      </c>
      <c r="E356" s="83">
        <f>4000+225.166</f>
        <v>4225.166</v>
      </c>
      <c r="F356" s="140">
        <f>4500+657</f>
        <v>5157</v>
      </c>
      <c r="G356" s="140">
        <v>5500</v>
      </c>
      <c r="H356" s="140">
        <v>5720</v>
      </c>
      <c r="I356" s="140">
        <v>5720</v>
      </c>
      <c r="J356" s="140">
        <v>5720</v>
      </c>
      <c r="K356" s="55"/>
    </row>
    <row r="357" spans="1:11" s="13" customFormat="1" ht="15" customHeight="1">
      <c r="A357" s="72" t="s">
        <v>455</v>
      </c>
      <c r="B357" s="22" t="s">
        <v>9</v>
      </c>
      <c r="C357" s="144">
        <f>SUM(D357:J357)</f>
        <v>77893.7</v>
      </c>
      <c r="D357" s="83">
        <v>10107.5</v>
      </c>
      <c r="E357" s="83">
        <v>10790.3</v>
      </c>
      <c r="F357" s="140">
        <f>10790.3</f>
        <v>10790.3</v>
      </c>
      <c r="G357" s="140">
        <v>11139</v>
      </c>
      <c r="H357" s="140">
        <v>11233.5</v>
      </c>
      <c r="I357" s="140">
        <v>11682.9</v>
      </c>
      <c r="J357" s="140">
        <v>12150.2</v>
      </c>
      <c r="K357" s="55"/>
    </row>
    <row r="358" spans="1:11" s="7" customFormat="1" ht="15" customHeight="1">
      <c r="A358" s="76"/>
      <c r="B358" s="9"/>
      <c r="C358" s="144"/>
      <c r="D358" s="83"/>
      <c r="E358" s="83"/>
      <c r="F358" s="140"/>
      <c r="G358" s="140"/>
      <c r="H358" s="140"/>
      <c r="I358" s="140"/>
      <c r="J358" s="140"/>
      <c r="K358" s="55"/>
    </row>
    <row r="359" spans="1:11" s="13" customFormat="1" ht="48" customHeight="1">
      <c r="A359" s="72" t="s">
        <v>456</v>
      </c>
      <c r="B359" s="27" t="s">
        <v>39</v>
      </c>
      <c r="C359" s="144">
        <f>SUM(D359:J359)</f>
        <v>17849.321</v>
      </c>
      <c r="D359" s="85">
        <f>SUM(D360:D361)</f>
        <v>1699.99</v>
      </c>
      <c r="E359" s="85">
        <f aca="true" t="shared" si="119" ref="E359:J359">SUM(E360:E361)</f>
        <v>3668.331</v>
      </c>
      <c r="F359" s="143">
        <f t="shared" si="119"/>
        <v>2110.6</v>
      </c>
      <c r="G359" s="143">
        <f t="shared" si="119"/>
        <v>2208.2</v>
      </c>
      <c r="H359" s="143">
        <f t="shared" si="119"/>
        <v>2500</v>
      </c>
      <c r="I359" s="143">
        <f t="shared" si="119"/>
        <v>2831.1</v>
      </c>
      <c r="J359" s="143">
        <f t="shared" si="119"/>
        <v>2831.1</v>
      </c>
      <c r="K359" s="55" t="s">
        <v>193</v>
      </c>
    </row>
    <row r="360" spans="1:11" s="13" customFormat="1" ht="15" customHeight="1">
      <c r="A360" s="72" t="s">
        <v>457</v>
      </c>
      <c r="B360" s="22" t="s">
        <v>7</v>
      </c>
      <c r="C360" s="144">
        <f>SUM(D360:J360)</f>
        <v>16310.990000000002</v>
      </c>
      <c r="D360" s="68">
        <v>1699.99</v>
      </c>
      <c r="E360" s="68">
        <f>1950+120+60</f>
        <v>2130</v>
      </c>
      <c r="F360" s="148">
        <v>2110.6</v>
      </c>
      <c r="G360" s="148">
        <v>2208.2</v>
      </c>
      <c r="H360" s="148">
        <v>2500</v>
      </c>
      <c r="I360" s="148">
        <f>2771.1+60</f>
        <v>2831.1</v>
      </c>
      <c r="J360" s="148">
        <f>2771.1+60</f>
        <v>2831.1</v>
      </c>
      <c r="K360" s="55"/>
    </row>
    <row r="361" spans="1:11" s="13" customFormat="1" ht="15" customHeight="1">
      <c r="A361" s="72" t="s">
        <v>458</v>
      </c>
      <c r="B361" s="22" t="s">
        <v>9</v>
      </c>
      <c r="C361" s="144">
        <f>SUM(D361:J361)</f>
        <v>1538.331</v>
      </c>
      <c r="D361" s="68"/>
      <c r="E361" s="68">
        <f>1538.331</f>
        <v>1538.331</v>
      </c>
      <c r="F361" s="148"/>
      <c r="G361" s="148"/>
      <c r="H361" s="148"/>
      <c r="I361" s="148"/>
      <c r="J361" s="148"/>
      <c r="K361" s="55"/>
    </row>
    <row r="362" spans="1:11" s="7" customFormat="1" ht="15" customHeight="1">
      <c r="A362" s="77"/>
      <c r="B362" s="9"/>
      <c r="C362" s="153"/>
      <c r="D362" s="68"/>
      <c r="E362" s="68"/>
      <c r="F362" s="148"/>
      <c r="G362" s="159"/>
      <c r="H362" s="159"/>
      <c r="I362" s="159"/>
      <c r="J362" s="159"/>
      <c r="K362" s="51"/>
    </row>
    <row r="363" spans="1:11" s="6" customFormat="1" ht="30.75" customHeight="1">
      <c r="A363" s="125"/>
      <c r="B363" s="380" t="s">
        <v>57</v>
      </c>
      <c r="C363" s="381"/>
      <c r="D363" s="381"/>
      <c r="E363" s="381"/>
      <c r="F363" s="381"/>
      <c r="G363" s="381"/>
      <c r="H363" s="381"/>
      <c r="I363" s="381"/>
      <c r="J363" s="381"/>
      <c r="K363" s="382"/>
    </row>
    <row r="364" spans="1:11" s="7" customFormat="1" ht="15.75">
      <c r="A364" s="76" t="s">
        <v>459</v>
      </c>
      <c r="B364" s="26" t="s">
        <v>40</v>
      </c>
      <c r="C364" s="153">
        <f aca="true" t="shared" si="120" ref="C364:J364">SUM(C365:C367)</f>
        <v>230465.42069</v>
      </c>
      <c r="D364" s="86">
        <f t="shared" si="120"/>
        <v>30652.593</v>
      </c>
      <c r="E364" s="85">
        <f t="shared" si="120"/>
        <v>28375.639000000003</v>
      </c>
      <c r="F364" s="143">
        <f t="shared" si="120"/>
        <v>33999.6861</v>
      </c>
      <c r="G364" s="153">
        <f t="shared" si="120"/>
        <v>31971.70259</v>
      </c>
      <c r="H364" s="153">
        <f t="shared" si="120"/>
        <v>33586</v>
      </c>
      <c r="I364" s="153">
        <f t="shared" si="120"/>
        <v>36059.8</v>
      </c>
      <c r="J364" s="153">
        <f t="shared" si="120"/>
        <v>35820</v>
      </c>
      <c r="K364" s="51"/>
    </row>
    <row r="365" spans="1:11" s="7" customFormat="1" ht="15" customHeight="1">
      <c r="A365" s="76" t="s">
        <v>460</v>
      </c>
      <c r="B365" s="9" t="s">
        <v>7</v>
      </c>
      <c r="C365" s="156">
        <f>SUM(D365:J365)</f>
        <v>229715.42069</v>
      </c>
      <c r="D365" s="88">
        <f>SUM(D371+D389)</f>
        <v>29902.593</v>
      </c>
      <c r="E365" s="68">
        <f aca="true" t="shared" si="121" ref="E365:J365">SUM(E371+E389)</f>
        <v>28375.639000000003</v>
      </c>
      <c r="F365" s="148">
        <f t="shared" si="121"/>
        <v>33999.6861</v>
      </c>
      <c r="G365" s="159">
        <f t="shared" si="121"/>
        <v>31971.70259</v>
      </c>
      <c r="H365" s="159">
        <f t="shared" si="121"/>
        <v>33586</v>
      </c>
      <c r="I365" s="159">
        <f t="shared" si="121"/>
        <v>36059.8</v>
      </c>
      <c r="J365" s="159">
        <f t="shared" si="121"/>
        <v>35820</v>
      </c>
      <c r="K365" s="51"/>
    </row>
    <row r="366" spans="1:11" s="7" customFormat="1" ht="15" customHeight="1">
      <c r="A366" s="76" t="s">
        <v>461</v>
      </c>
      <c r="B366" s="9" t="s">
        <v>8</v>
      </c>
      <c r="C366" s="156">
        <f>SUM(D366:J366)</f>
        <v>0</v>
      </c>
      <c r="D366" s="88"/>
      <c r="E366" s="68"/>
      <c r="F366" s="148"/>
      <c r="G366" s="159"/>
      <c r="H366" s="159"/>
      <c r="I366" s="159"/>
      <c r="J366" s="159"/>
      <c r="K366" s="51"/>
    </row>
    <row r="367" spans="1:11" s="7" customFormat="1" ht="15" customHeight="1">
      <c r="A367" s="76" t="s">
        <v>462</v>
      </c>
      <c r="B367" s="9" t="s">
        <v>9</v>
      </c>
      <c r="C367" s="156">
        <f>SUM(D367:J367)</f>
        <v>750</v>
      </c>
      <c r="D367" s="88">
        <f>SUM(D373)</f>
        <v>750</v>
      </c>
      <c r="E367" s="68">
        <f aca="true" t="shared" si="122" ref="E367:J367">SUM(E373)</f>
        <v>0</v>
      </c>
      <c r="F367" s="148">
        <f t="shared" si="122"/>
        <v>0</v>
      </c>
      <c r="G367" s="159">
        <f t="shared" si="122"/>
        <v>0</v>
      </c>
      <c r="H367" s="159">
        <f t="shared" si="122"/>
        <v>0</v>
      </c>
      <c r="I367" s="159">
        <f t="shared" si="122"/>
        <v>0</v>
      </c>
      <c r="J367" s="159">
        <f t="shared" si="122"/>
        <v>0</v>
      </c>
      <c r="K367" s="51"/>
    </row>
    <row r="368" spans="1:11" s="7" customFormat="1" ht="15" customHeight="1">
      <c r="A368" s="76"/>
      <c r="B368" s="9"/>
      <c r="C368" s="156"/>
      <c r="D368" s="88"/>
      <c r="E368" s="68"/>
      <c r="F368" s="148"/>
      <c r="G368" s="159"/>
      <c r="H368" s="159"/>
      <c r="I368" s="159"/>
      <c r="J368" s="159"/>
      <c r="K368" s="51"/>
    </row>
    <row r="369" spans="1:11" s="7" customFormat="1" ht="15" customHeight="1">
      <c r="A369" s="126"/>
      <c r="B369" s="389" t="s">
        <v>11</v>
      </c>
      <c r="C369" s="390"/>
      <c r="D369" s="390"/>
      <c r="E369" s="390"/>
      <c r="F369" s="390"/>
      <c r="G369" s="390"/>
      <c r="H369" s="390"/>
      <c r="I369" s="390"/>
      <c r="J369" s="390"/>
      <c r="K369" s="391"/>
    </row>
    <row r="370" spans="1:11" s="7" customFormat="1" ht="20.25" customHeight="1">
      <c r="A370" s="76" t="s">
        <v>463</v>
      </c>
      <c r="B370" s="26" t="s">
        <v>32</v>
      </c>
      <c r="C370" s="156">
        <f aca="true" t="shared" si="123" ref="C370:J370">SUM(C371:C373)</f>
        <v>2600</v>
      </c>
      <c r="D370" s="70">
        <f>SUM(D371:D373)</f>
        <v>1500</v>
      </c>
      <c r="E370" s="90">
        <f>SUM(E371:E373)</f>
        <v>0</v>
      </c>
      <c r="F370" s="144">
        <f t="shared" si="123"/>
        <v>0</v>
      </c>
      <c r="G370" s="156">
        <f t="shared" si="123"/>
        <v>0</v>
      </c>
      <c r="H370" s="156">
        <f t="shared" si="123"/>
        <v>0</v>
      </c>
      <c r="I370" s="156">
        <f t="shared" si="123"/>
        <v>1100</v>
      </c>
      <c r="J370" s="156">
        <f t="shared" si="123"/>
        <v>0</v>
      </c>
      <c r="K370" s="51"/>
    </row>
    <row r="371" spans="1:11" s="7" customFormat="1" ht="15" customHeight="1">
      <c r="A371" s="76" t="s">
        <v>464</v>
      </c>
      <c r="B371" s="9" t="s">
        <v>7</v>
      </c>
      <c r="C371" s="156">
        <f>SUM(D371:J371)</f>
        <v>1850</v>
      </c>
      <c r="D371" s="88">
        <f aca="true" t="shared" si="124" ref="D371:J371">SUM(D377+D381+D384)</f>
        <v>750</v>
      </c>
      <c r="E371" s="68">
        <f t="shared" si="124"/>
        <v>0</v>
      </c>
      <c r="F371" s="148">
        <f t="shared" si="124"/>
        <v>0</v>
      </c>
      <c r="G371" s="159">
        <f t="shared" si="124"/>
        <v>0</v>
      </c>
      <c r="H371" s="159">
        <f t="shared" si="124"/>
        <v>0</v>
      </c>
      <c r="I371" s="159">
        <f t="shared" si="124"/>
        <v>1100</v>
      </c>
      <c r="J371" s="159">
        <f t="shared" si="124"/>
        <v>0</v>
      </c>
      <c r="K371" s="51"/>
    </row>
    <row r="372" spans="1:11" s="7" customFormat="1" ht="15" customHeight="1">
      <c r="A372" s="76" t="s">
        <v>465</v>
      </c>
      <c r="B372" s="9" t="s">
        <v>8</v>
      </c>
      <c r="C372" s="156">
        <f>SUM(D372:J372)</f>
        <v>0</v>
      </c>
      <c r="D372" s="88"/>
      <c r="E372" s="68"/>
      <c r="F372" s="148"/>
      <c r="G372" s="159"/>
      <c r="H372" s="159"/>
      <c r="I372" s="159"/>
      <c r="J372" s="159"/>
      <c r="K372" s="51"/>
    </row>
    <row r="373" spans="1:11" s="7" customFormat="1" ht="15" customHeight="1">
      <c r="A373" s="76" t="s">
        <v>466</v>
      </c>
      <c r="B373" s="9" t="s">
        <v>9</v>
      </c>
      <c r="C373" s="156">
        <f>SUM(D373:J373)</f>
        <v>750</v>
      </c>
      <c r="D373" s="88">
        <f>SUM(D385)</f>
        <v>750</v>
      </c>
      <c r="E373" s="68">
        <f aca="true" t="shared" si="125" ref="E373:J373">SUM(E385)</f>
        <v>0</v>
      </c>
      <c r="F373" s="148">
        <f t="shared" si="125"/>
        <v>0</v>
      </c>
      <c r="G373" s="159">
        <f t="shared" si="125"/>
        <v>0</v>
      </c>
      <c r="H373" s="159">
        <f t="shared" si="125"/>
        <v>0</v>
      </c>
      <c r="I373" s="159">
        <f t="shared" si="125"/>
        <v>0</v>
      </c>
      <c r="J373" s="159">
        <f t="shared" si="125"/>
        <v>0</v>
      </c>
      <c r="K373" s="51"/>
    </row>
    <row r="374" spans="1:11" s="7" customFormat="1" ht="15" customHeight="1">
      <c r="A374" s="77"/>
      <c r="B374" s="5"/>
      <c r="C374" s="156"/>
      <c r="D374" s="88"/>
      <c r="E374" s="68"/>
      <c r="F374" s="148"/>
      <c r="G374" s="159"/>
      <c r="H374" s="159"/>
      <c r="I374" s="159"/>
      <c r="J374" s="159"/>
      <c r="K374" s="51"/>
    </row>
    <row r="375" spans="1:11" s="7" customFormat="1" ht="15" customHeight="1">
      <c r="A375" s="127"/>
      <c r="B375" s="386" t="s">
        <v>12</v>
      </c>
      <c r="C375" s="387"/>
      <c r="D375" s="387"/>
      <c r="E375" s="387"/>
      <c r="F375" s="387"/>
      <c r="G375" s="387"/>
      <c r="H375" s="387"/>
      <c r="I375" s="387"/>
      <c r="J375" s="387"/>
      <c r="K375" s="388"/>
    </row>
    <row r="376" spans="1:11" s="7" customFormat="1" ht="48.75" customHeight="1">
      <c r="A376" s="76" t="s">
        <v>467</v>
      </c>
      <c r="B376" s="26" t="s">
        <v>102</v>
      </c>
      <c r="C376" s="156">
        <v>0</v>
      </c>
      <c r="D376" s="86">
        <f>SUM(D377:D378)</f>
        <v>0</v>
      </c>
      <c r="E376" s="85">
        <f aca="true" t="shared" si="126" ref="E376:J376">SUM(E377:E378)</f>
        <v>0</v>
      </c>
      <c r="F376" s="143">
        <f t="shared" si="126"/>
        <v>0</v>
      </c>
      <c r="G376" s="153">
        <f t="shared" si="126"/>
        <v>0</v>
      </c>
      <c r="H376" s="153">
        <f t="shared" si="126"/>
        <v>0</v>
      </c>
      <c r="I376" s="153">
        <f t="shared" si="126"/>
        <v>0</v>
      </c>
      <c r="J376" s="153">
        <f t="shared" si="126"/>
        <v>0</v>
      </c>
      <c r="K376" s="51"/>
    </row>
    <row r="377" spans="1:11" s="7" customFormat="1" ht="15" customHeight="1">
      <c r="A377" s="76" t="s">
        <v>468</v>
      </c>
      <c r="B377" s="9" t="s">
        <v>7</v>
      </c>
      <c r="C377" s="156">
        <f>SUM(D377:J377)</f>
        <v>0</v>
      </c>
      <c r="D377" s="88"/>
      <c r="E377" s="68"/>
      <c r="F377" s="148"/>
      <c r="G377" s="159"/>
      <c r="H377" s="159"/>
      <c r="I377" s="159"/>
      <c r="J377" s="159"/>
      <c r="K377" s="51"/>
    </row>
    <row r="378" spans="1:11" s="7" customFormat="1" ht="15" customHeight="1">
      <c r="A378" s="76"/>
      <c r="B378" s="9"/>
      <c r="C378" s="70"/>
      <c r="D378" s="88"/>
      <c r="E378" s="68"/>
      <c r="F378" s="148"/>
      <c r="G378" s="159"/>
      <c r="H378" s="159"/>
      <c r="I378" s="159"/>
      <c r="J378" s="159"/>
      <c r="K378" s="51"/>
    </row>
    <row r="379" spans="1:11" s="7" customFormat="1" ht="15" customHeight="1">
      <c r="A379" s="127"/>
      <c r="B379" s="386" t="s">
        <v>23</v>
      </c>
      <c r="C379" s="387"/>
      <c r="D379" s="387"/>
      <c r="E379" s="387"/>
      <c r="F379" s="387"/>
      <c r="G379" s="387"/>
      <c r="H379" s="387"/>
      <c r="I379" s="387"/>
      <c r="J379" s="387"/>
      <c r="K379" s="388"/>
    </row>
    <row r="380" spans="1:11" s="13" customFormat="1" ht="51.75" customHeight="1">
      <c r="A380" s="72" t="s">
        <v>469</v>
      </c>
      <c r="B380" s="27" t="s">
        <v>42</v>
      </c>
      <c r="C380" s="144">
        <f>SUM(D380:J380)</f>
        <v>1100</v>
      </c>
      <c r="D380" s="85">
        <f>SUM(D381)</f>
        <v>0</v>
      </c>
      <c r="E380" s="85">
        <f aca="true" t="shared" si="127" ref="E380:J380">SUM(E381)</f>
        <v>0</v>
      </c>
      <c r="F380" s="143">
        <f t="shared" si="127"/>
        <v>0</v>
      </c>
      <c r="G380" s="143">
        <f t="shared" si="127"/>
        <v>0</v>
      </c>
      <c r="H380" s="143">
        <f t="shared" si="127"/>
        <v>0</v>
      </c>
      <c r="I380" s="143">
        <f t="shared" si="127"/>
        <v>1100</v>
      </c>
      <c r="J380" s="143">
        <f t="shared" si="127"/>
        <v>0</v>
      </c>
      <c r="K380" s="55" t="s">
        <v>209</v>
      </c>
    </row>
    <row r="381" spans="1:11" s="13" customFormat="1" ht="15" customHeight="1">
      <c r="A381" s="72" t="s">
        <v>470</v>
      </c>
      <c r="B381" s="22" t="s">
        <v>7</v>
      </c>
      <c r="C381" s="144">
        <f>SUM(D381:J381)</f>
        <v>1100</v>
      </c>
      <c r="D381" s="68"/>
      <c r="E381" s="68"/>
      <c r="F381" s="148"/>
      <c r="G381" s="148"/>
      <c r="H381" s="148"/>
      <c r="I381" s="148">
        <v>1100</v>
      </c>
      <c r="J381" s="148"/>
      <c r="K381" s="55"/>
    </row>
    <row r="382" spans="1:11" s="7" customFormat="1" ht="15" customHeight="1">
      <c r="A382" s="76"/>
      <c r="B382" s="9"/>
      <c r="C382" s="156"/>
      <c r="D382" s="88"/>
      <c r="E382" s="88"/>
      <c r="F382" s="148"/>
      <c r="G382" s="159"/>
      <c r="H382" s="159"/>
      <c r="I382" s="159"/>
      <c r="J382" s="159"/>
      <c r="K382" s="55"/>
    </row>
    <row r="383" spans="1:11" s="13" customFormat="1" ht="79.5" customHeight="1">
      <c r="A383" s="72" t="s">
        <v>471</v>
      </c>
      <c r="B383" s="27" t="s">
        <v>52</v>
      </c>
      <c r="C383" s="143">
        <f>SUM(C384:C385)</f>
        <v>1500</v>
      </c>
      <c r="D383" s="85">
        <f>SUM(D384:D385)</f>
        <v>1500</v>
      </c>
      <c r="E383" s="85">
        <f aca="true" t="shared" si="128" ref="E383:J383">SUM(E384:E385)</f>
        <v>0</v>
      </c>
      <c r="F383" s="143">
        <f t="shared" si="128"/>
        <v>0</v>
      </c>
      <c r="G383" s="143">
        <f t="shared" si="128"/>
        <v>0</v>
      </c>
      <c r="H383" s="143">
        <f t="shared" si="128"/>
        <v>0</v>
      </c>
      <c r="I383" s="143">
        <f t="shared" si="128"/>
        <v>0</v>
      </c>
      <c r="J383" s="143">
        <f t="shared" si="128"/>
        <v>0</v>
      </c>
      <c r="K383" s="55" t="s">
        <v>210</v>
      </c>
    </row>
    <row r="384" spans="1:11" s="13" customFormat="1" ht="15.75">
      <c r="A384" s="72" t="s">
        <v>472</v>
      </c>
      <c r="B384" s="22" t="s">
        <v>7</v>
      </c>
      <c r="C384" s="144">
        <f>SUM(D384:J384)</f>
        <v>750</v>
      </c>
      <c r="D384" s="68">
        <f>700+50</f>
        <v>750</v>
      </c>
      <c r="E384" s="68"/>
      <c r="F384" s="148"/>
      <c r="G384" s="148">
        <f>1505-1505</f>
        <v>0</v>
      </c>
      <c r="H384" s="148"/>
      <c r="I384" s="148"/>
      <c r="J384" s="148"/>
      <c r="K384" s="55"/>
    </row>
    <row r="385" spans="1:11" s="13" customFormat="1" ht="15" customHeight="1">
      <c r="A385" s="72" t="s">
        <v>473</v>
      </c>
      <c r="B385" s="22" t="s">
        <v>9</v>
      </c>
      <c r="C385" s="144">
        <f>SUM(D385:J385)</f>
        <v>750</v>
      </c>
      <c r="D385" s="68">
        <f>750</f>
        <v>750</v>
      </c>
      <c r="E385" s="68"/>
      <c r="F385" s="148"/>
      <c r="G385" s="148"/>
      <c r="H385" s="148"/>
      <c r="I385" s="148"/>
      <c r="J385" s="148"/>
      <c r="K385" s="55"/>
    </row>
    <row r="386" spans="1:11" s="7" customFormat="1" ht="15" customHeight="1">
      <c r="A386" s="76"/>
      <c r="B386" s="11"/>
      <c r="C386" s="70"/>
      <c r="D386" s="87"/>
      <c r="E386" s="87"/>
      <c r="F386" s="140"/>
      <c r="G386" s="155"/>
      <c r="H386" s="155"/>
      <c r="I386" s="155"/>
      <c r="J386" s="155"/>
      <c r="K386" s="51"/>
    </row>
    <row r="387" spans="1:11" s="7" customFormat="1" ht="15" customHeight="1">
      <c r="A387" s="126"/>
      <c r="B387" s="389" t="s">
        <v>15</v>
      </c>
      <c r="C387" s="390"/>
      <c r="D387" s="390"/>
      <c r="E387" s="390"/>
      <c r="F387" s="390"/>
      <c r="G387" s="390"/>
      <c r="H387" s="390"/>
      <c r="I387" s="390"/>
      <c r="J387" s="390"/>
      <c r="K387" s="391"/>
    </row>
    <row r="388" spans="1:11" s="7" customFormat="1" ht="15.75">
      <c r="A388" s="76" t="s">
        <v>474</v>
      </c>
      <c r="B388" s="26" t="s">
        <v>16</v>
      </c>
      <c r="C388" s="156">
        <f>SUM(C389)</f>
        <v>227865.42069</v>
      </c>
      <c r="D388" s="86">
        <f>SUM(D389:D389)</f>
        <v>29152.593</v>
      </c>
      <c r="E388" s="85">
        <f aca="true" t="shared" si="129" ref="E388:J388">SUM(E389:E389)</f>
        <v>28375.639000000003</v>
      </c>
      <c r="F388" s="143">
        <f t="shared" si="129"/>
        <v>33999.6861</v>
      </c>
      <c r="G388" s="153">
        <f t="shared" si="129"/>
        <v>31971.70259</v>
      </c>
      <c r="H388" s="153">
        <f t="shared" si="129"/>
        <v>33586</v>
      </c>
      <c r="I388" s="153">
        <f t="shared" si="129"/>
        <v>34959.8</v>
      </c>
      <c r="J388" s="153">
        <f t="shared" si="129"/>
        <v>35820</v>
      </c>
      <c r="K388" s="51"/>
    </row>
    <row r="389" spans="1:11" s="7" customFormat="1" ht="15" customHeight="1">
      <c r="A389" s="76" t="s">
        <v>475</v>
      </c>
      <c r="B389" s="9" t="s">
        <v>7</v>
      </c>
      <c r="C389" s="153">
        <f>SUM(D389:J389)</f>
        <v>227865.42069</v>
      </c>
      <c r="D389" s="87">
        <f>SUM(D392+D395+D410+D413+D416)</f>
        <v>29152.593</v>
      </c>
      <c r="E389" s="83">
        <f aca="true" t="shared" si="130" ref="E389:J389">SUM(E392+E395+E410+E413+E416)</f>
        <v>28375.639000000003</v>
      </c>
      <c r="F389" s="140">
        <f t="shared" si="130"/>
        <v>33999.6861</v>
      </c>
      <c r="G389" s="155">
        <f t="shared" si="130"/>
        <v>31971.70259</v>
      </c>
      <c r="H389" s="155">
        <f t="shared" si="130"/>
        <v>33586</v>
      </c>
      <c r="I389" s="155">
        <f t="shared" si="130"/>
        <v>34959.8</v>
      </c>
      <c r="J389" s="155">
        <f t="shared" si="130"/>
        <v>35820</v>
      </c>
      <c r="K389" s="51"/>
    </row>
    <row r="390" spans="1:11" s="7" customFormat="1" ht="15" customHeight="1">
      <c r="A390" s="76"/>
      <c r="B390" s="11"/>
      <c r="C390" s="156"/>
      <c r="D390" s="87"/>
      <c r="E390" s="83"/>
      <c r="F390" s="140"/>
      <c r="G390" s="155"/>
      <c r="H390" s="155"/>
      <c r="I390" s="155"/>
      <c r="J390" s="155"/>
      <c r="K390" s="51"/>
    </row>
    <row r="391" spans="1:11" s="13" customFormat="1" ht="63">
      <c r="A391" s="72" t="s">
        <v>124</v>
      </c>
      <c r="B391" s="27" t="s">
        <v>486</v>
      </c>
      <c r="C391" s="144">
        <f>SUM(C392)</f>
        <v>26618.88869</v>
      </c>
      <c r="D391" s="85">
        <f>SUM(D392)</f>
        <v>3600</v>
      </c>
      <c r="E391" s="85">
        <f aca="true" t="shared" si="131" ref="E391:J391">SUM(E392)</f>
        <v>3613</v>
      </c>
      <c r="F391" s="143">
        <f t="shared" si="131"/>
        <v>3778.1861</v>
      </c>
      <c r="G391" s="143">
        <f t="shared" si="131"/>
        <v>3641.7025900000003</v>
      </c>
      <c r="H391" s="143">
        <f t="shared" si="131"/>
        <v>3786</v>
      </c>
      <c r="I391" s="143">
        <f t="shared" si="131"/>
        <v>4100</v>
      </c>
      <c r="J391" s="143">
        <f t="shared" si="131"/>
        <v>4100</v>
      </c>
      <c r="K391" s="55" t="s">
        <v>211</v>
      </c>
    </row>
    <row r="392" spans="1:11" s="13" customFormat="1" ht="15" customHeight="1">
      <c r="A392" s="72" t="s">
        <v>125</v>
      </c>
      <c r="B392" s="22" t="s">
        <v>7</v>
      </c>
      <c r="C392" s="144">
        <f>SUM(D392:J392)</f>
        <v>26618.88869</v>
      </c>
      <c r="D392" s="83">
        <v>3600</v>
      </c>
      <c r="E392" s="83">
        <v>3613</v>
      </c>
      <c r="F392" s="140">
        <f>3681+105-7.8139</f>
        <v>3778.1861</v>
      </c>
      <c r="G392" s="140">
        <f>3390.3+83.97336+167.42923</f>
        <v>3641.7025900000003</v>
      </c>
      <c r="H392" s="140">
        <f>3786</f>
        <v>3786</v>
      </c>
      <c r="I392" s="140">
        <v>4100</v>
      </c>
      <c r="J392" s="140">
        <v>4100</v>
      </c>
      <c r="K392" s="55"/>
    </row>
    <row r="393" spans="1:11" s="7" customFormat="1" ht="15" customHeight="1">
      <c r="A393" s="76"/>
      <c r="B393" s="9"/>
      <c r="C393" s="156"/>
      <c r="D393" s="87"/>
      <c r="E393" s="83"/>
      <c r="F393" s="140"/>
      <c r="G393" s="155"/>
      <c r="H393" s="155"/>
      <c r="I393" s="155"/>
      <c r="J393" s="155"/>
      <c r="K393" s="55"/>
    </row>
    <row r="394" spans="1:11" s="7" customFormat="1" ht="99" customHeight="1">
      <c r="A394" s="76" t="s">
        <v>126</v>
      </c>
      <c r="B394" s="26" t="s">
        <v>116</v>
      </c>
      <c r="C394" s="156">
        <f aca="true" t="shared" si="132" ref="C394:J394">SUM(C395)</f>
        <v>198772.669</v>
      </c>
      <c r="D394" s="86">
        <f>SUM(D395)</f>
        <v>25048.73</v>
      </c>
      <c r="E394" s="86">
        <f t="shared" si="132"/>
        <v>24392.639000000003</v>
      </c>
      <c r="F394" s="143">
        <f t="shared" si="132"/>
        <v>29891.5</v>
      </c>
      <c r="G394" s="153">
        <f t="shared" si="132"/>
        <v>28000</v>
      </c>
      <c r="H394" s="153">
        <f t="shared" si="132"/>
        <v>29520</v>
      </c>
      <c r="I394" s="153">
        <f t="shared" si="132"/>
        <v>30529.8</v>
      </c>
      <c r="J394" s="153">
        <f t="shared" si="132"/>
        <v>31390</v>
      </c>
      <c r="K394" s="55" t="s">
        <v>212</v>
      </c>
    </row>
    <row r="395" spans="1:11" s="7" customFormat="1" ht="15" customHeight="1">
      <c r="A395" s="76" t="s">
        <v>127</v>
      </c>
      <c r="B395" s="9" t="s">
        <v>7</v>
      </c>
      <c r="C395" s="156">
        <f>SUM(D395:J395)</f>
        <v>198772.669</v>
      </c>
      <c r="D395" s="86">
        <f>SUM(D398+D401+D404+D407)</f>
        <v>25048.73</v>
      </c>
      <c r="E395" s="86">
        <f aca="true" t="shared" si="133" ref="E395:J395">SUM(E398+E401+E404+E407)</f>
        <v>24392.639000000003</v>
      </c>
      <c r="F395" s="143">
        <f t="shared" si="133"/>
        <v>29891.5</v>
      </c>
      <c r="G395" s="153">
        <f t="shared" si="133"/>
        <v>28000</v>
      </c>
      <c r="H395" s="153">
        <f t="shared" si="133"/>
        <v>29520</v>
      </c>
      <c r="I395" s="153">
        <f t="shared" si="133"/>
        <v>30529.8</v>
      </c>
      <c r="J395" s="153">
        <f t="shared" si="133"/>
        <v>31390</v>
      </c>
      <c r="K395" s="51"/>
    </row>
    <row r="396" spans="1:11" s="7" customFormat="1" ht="15" customHeight="1">
      <c r="A396" s="76"/>
      <c r="B396" s="9"/>
      <c r="C396" s="156"/>
      <c r="D396" s="87"/>
      <c r="E396" s="87"/>
      <c r="F396" s="140"/>
      <c r="G396" s="155"/>
      <c r="H396" s="155"/>
      <c r="I396" s="155"/>
      <c r="J396" s="155"/>
      <c r="K396" s="51"/>
    </row>
    <row r="397" spans="1:11" s="13" customFormat="1" ht="33" customHeight="1">
      <c r="A397" s="72" t="s">
        <v>128</v>
      </c>
      <c r="B397" s="22" t="s">
        <v>117</v>
      </c>
      <c r="C397" s="184">
        <f aca="true" t="shared" si="134" ref="C397:J397">SUM(C398)</f>
        <v>16542.13</v>
      </c>
      <c r="D397" s="92">
        <f t="shared" si="134"/>
        <v>1933.73</v>
      </c>
      <c r="E397" s="92">
        <f t="shared" si="134"/>
        <v>2373</v>
      </c>
      <c r="F397" s="151">
        <f t="shared" si="134"/>
        <v>2055</v>
      </c>
      <c r="G397" s="151">
        <f t="shared" si="134"/>
        <v>2548.6</v>
      </c>
      <c r="H397" s="151">
        <f t="shared" si="134"/>
        <v>2418</v>
      </c>
      <c r="I397" s="151">
        <f t="shared" si="134"/>
        <v>2543.8</v>
      </c>
      <c r="J397" s="151">
        <f t="shared" si="134"/>
        <v>2670</v>
      </c>
      <c r="K397" s="55"/>
    </row>
    <row r="398" spans="1:11" s="13" customFormat="1" ht="15" customHeight="1">
      <c r="A398" s="72" t="s">
        <v>129</v>
      </c>
      <c r="B398" s="22" t="s">
        <v>7</v>
      </c>
      <c r="C398" s="184">
        <f>SUM(D398:J398)</f>
        <v>16542.13</v>
      </c>
      <c r="D398" s="92">
        <v>1933.73</v>
      </c>
      <c r="E398" s="92">
        <f>2043+250+80</f>
        <v>2373</v>
      </c>
      <c r="F398" s="151">
        <f>2605-550</f>
        <v>2055</v>
      </c>
      <c r="G398" s="151">
        <v>2548.6</v>
      </c>
      <c r="H398" s="151">
        <v>2418</v>
      </c>
      <c r="I398" s="151">
        <v>2543.8</v>
      </c>
      <c r="J398" s="151">
        <v>2670</v>
      </c>
      <c r="K398" s="55"/>
    </row>
    <row r="399" spans="1:11" s="7" customFormat="1" ht="15" customHeight="1">
      <c r="A399" s="76"/>
      <c r="B399" s="9"/>
      <c r="C399" s="172"/>
      <c r="D399" s="119"/>
      <c r="E399" s="92"/>
      <c r="F399" s="151"/>
      <c r="G399" s="161"/>
      <c r="H399" s="161"/>
      <c r="I399" s="161"/>
      <c r="J399" s="161"/>
      <c r="K399" s="51"/>
    </row>
    <row r="400" spans="1:11" s="13" customFormat="1" ht="34.5" customHeight="1">
      <c r="A400" s="72" t="s">
        <v>163</v>
      </c>
      <c r="B400" s="22" t="s">
        <v>118</v>
      </c>
      <c r="C400" s="184">
        <f aca="true" t="shared" si="135" ref="C400:J400">SUM(C401)</f>
        <v>220</v>
      </c>
      <c r="D400" s="92">
        <f t="shared" si="135"/>
        <v>0</v>
      </c>
      <c r="E400" s="92">
        <f t="shared" si="135"/>
        <v>220</v>
      </c>
      <c r="F400" s="151">
        <f t="shared" si="135"/>
        <v>0</v>
      </c>
      <c r="G400" s="151">
        <f t="shared" si="135"/>
        <v>0</v>
      </c>
      <c r="H400" s="151">
        <f t="shared" si="135"/>
        <v>0</v>
      </c>
      <c r="I400" s="151">
        <f t="shared" si="135"/>
        <v>0</v>
      </c>
      <c r="J400" s="151">
        <f t="shared" si="135"/>
        <v>0</v>
      </c>
      <c r="K400" s="55"/>
    </row>
    <row r="401" spans="1:11" s="13" customFormat="1" ht="15" customHeight="1">
      <c r="A401" s="72" t="s">
        <v>164</v>
      </c>
      <c r="B401" s="22" t="s">
        <v>7</v>
      </c>
      <c r="C401" s="184">
        <f>SUM(D401:J401)</f>
        <v>220</v>
      </c>
      <c r="D401" s="92">
        <f>140-140</f>
        <v>0</v>
      </c>
      <c r="E401" s="92">
        <f>279-59</f>
        <v>220</v>
      </c>
      <c r="F401" s="151">
        <v>0</v>
      </c>
      <c r="G401" s="151">
        <v>0</v>
      </c>
      <c r="H401" s="151">
        <v>0</v>
      </c>
      <c r="I401" s="151">
        <v>0</v>
      </c>
      <c r="J401" s="151">
        <v>0</v>
      </c>
      <c r="K401" s="55"/>
    </row>
    <row r="402" spans="1:11" s="7" customFormat="1" ht="15" customHeight="1">
      <c r="A402" s="76"/>
      <c r="B402" s="9"/>
      <c r="C402" s="172"/>
      <c r="D402" s="119"/>
      <c r="E402" s="92"/>
      <c r="F402" s="151"/>
      <c r="G402" s="161"/>
      <c r="H402" s="161"/>
      <c r="I402" s="161"/>
      <c r="J402" s="161"/>
      <c r="K402" s="51"/>
    </row>
    <row r="403" spans="1:11" s="13" customFormat="1" ht="50.25" customHeight="1">
      <c r="A403" s="72" t="s">
        <v>174</v>
      </c>
      <c r="B403" s="22" t="s">
        <v>119</v>
      </c>
      <c r="C403" s="184">
        <f aca="true" t="shared" si="136" ref="C403:J403">SUM(C404)</f>
        <v>97038.726</v>
      </c>
      <c r="D403" s="92">
        <f t="shared" si="136"/>
        <v>12833</v>
      </c>
      <c r="E403" s="92">
        <f t="shared" si="136"/>
        <v>11918.626</v>
      </c>
      <c r="F403" s="151">
        <f t="shared" si="136"/>
        <v>13908.9</v>
      </c>
      <c r="G403" s="151">
        <f t="shared" si="136"/>
        <v>13431.2</v>
      </c>
      <c r="H403" s="151">
        <f t="shared" si="136"/>
        <v>14591</v>
      </c>
      <c r="I403" s="151">
        <f t="shared" si="136"/>
        <v>15086</v>
      </c>
      <c r="J403" s="151">
        <f t="shared" si="136"/>
        <v>15270</v>
      </c>
      <c r="K403" s="55"/>
    </row>
    <row r="404" spans="1:11" s="13" customFormat="1" ht="15" customHeight="1">
      <c r="A404" s="72" t="s">
        <v>175</v>
      </c>
      <c r="B404" s="22" t="s">
        <v>7</v>
      </c>
      <c r="C404" s="184">
        <f>SUM(D404:J404)</f>
        <v>97038.726</v>
      </c>
      <c r="D404" s="92">
        <f>12743+90</f>
        <v>12833</v>
      </c>
      <c r="E404" s="92">
        <f>12201-277.9+245.5+0.026-250</f>
        <v>11918.626</v>
      </c>
      <c r="F404" s="151">
        <f>13569.4+169.5+170</f>
        <v>13908.9</v>
      </c>
      <c r="G404" s="151">
        <v>13431.2</v>
      </c>
      <c r="H404" s="151">
        <v>14591</v>
      </c>
      <c r="I404" s="151">
        <v>15086</v>
      </c>
      <c r="J404" s="151">
        <v>15270</v>
      </c>
      <c r="K404" s="55"/>
    </row>
    <row r="405" spans="1:11" s="7" customFormat="1" ht="15" customHeight="1">
      <c r="A405" s="76"/>
      <c r="B405" s="9"/>
      <c r="C405" s="172"/>
      <c r="D405" s="119"/>
      <c r="E405" s="92"/>
      <c r="F405" s="151"/>
      <c r="G405" s="151"/>
      <c r="H405" s="151"/>
      <c r="I405" s="151"/>
      <c r="J405" s="151"/>
      <c r="K405" s="55"/>
    </row>
    <row r="406" spans="1:11" s="13" customFormat="1" ht="48" customHeight="1">
      <c r="A406" s="72" t="s">
        <v>176</v>
      </c>
      <c r="B406" s="22" t="s">
        <v>120</v>
      </c>
      <c r="C406" s="184">
        <f aca="true" t="shared" si="137" ref="C406:J406">SUM(C407)</f>
        <v>84971.813</v>
      </c>
      <c r="D406" s="92">
        <f t="shared" si="137"/>
        <v>10282</v>
      </c>
      <c r="E406" s="92">
        <f t="shared" si="137"/>
        <v>9881.013</v>
      </c>
      <c r="F406" s="151">
        <f t="shared" si="137"/>
        <v>13927.6</v>
      </c>
      <c r="G406" s="151">
        <f t="shared" si="137"/>
        <v>12020.2</v>
      </c>
      <c r="H406" s="151">
        <f t="shared" si="137"/>
        <v>12511</v>
      </c>
      <c r="I406" s="151">
        <f t="shared" si="137"/>
        <v>12900</v>
      </c>
      <c r="J406" s="151">
        <f t="shared" si="137"/>
        <v>13450</v>
      </c>
      <c r="K406" s="55"/>
    </row>
    <row r="407" spans="1:11" s="13" customFormat="1" ht="15" customHeight="1">
      <c r="A407" s="72" t="s">
        <v>478</v>
      </c>
      <c r="B407" s="22" t="s">
        <v>7</v>
      </c>
      <c r="C407" s="184">
        <f>SUM(D407:J407)</f>
        <v>84971.813</v>
      </c>
      <c r="D407" s="92">
        <v>10282</v>
      </c>
      <c r="E407" s="92">
        <f>9977-15.987-80</f>
        <v>9881.013</v>
      </c>
      <c r="F407" s="151">
        <f>13927.6+1000-1000</f>
        <v>13927.6</v>
      </c>
      <c r="G407" s="151">
        <v>12020.2</v>
      </c>
      <c r="H407" s="151">
        <v>12511</v>
      </c>
      <c r="I407" s="151">
        <v>12900</v>
      </c>
      <c r="J407" s="151">
        <f>16450-3000</f>
        <v>13450</v>
      </c>
      <c r="K407" s="55"/>
    </row>
    <row r="408" spans="1:11" s="7" customFormat="1" ht="15" customHeight="1">
      <c r="A408" s="76"/>
      <c r="B408" s="9"/>
      <c r="C408" s="156"/>
      <c r="D408" s="87"/>
      <c r="E408" s="83"/>
      <c r="F408" s="140"/>
      <c r="G408" s="140"/>
      <c r="H408" s="140"/>
      <c r="I408" s="140"/>
      <c r="J408" s="140"/>
      <c r="K408" s="55"/>
    </row>
    <row r="409" spans="1:11" s="13" customFormat="1" ht="36.75" customHeight="1">
      <c r="A409" s="72" t="s">
        <v>484</v>
      </c>
      <c r="B409" s="27" t="s">
        <v>121</v>
      </c>
      <c r="C409" s="144">
        <f aca="true" t="shared" si="138" ref="C409:J409">SUM(C410)</f>
        <v>2180</v>
      </c>
      <c r="D409" s="85">
        <f t="shared" si="138"/>
        <v>290</v>
      </c>
      <c r="E409" s="85">
        <f t="shared" si="138"/>
        <v>290</v>
      </c>
      <c r="F409" s="143">
        <f t="shared" si="138"/>
        <v>330</v>
      </c>
      <c r="G409" s="143">
        <f t="shared" si="138"/>
        <v>330</v>
      </c>
      <c r="H409" s="143">
        <f t="shared" si="138"/>
        <v>280</v>
      </c>
      <c r="I409" s="143">
        <f t="shared" si="138"/>
        <v>330</v>
      </c>
      <c r="J409" s="143">
        <f t="shared" si="138"/>
        <v>330</v>
      </c>
      <c r="K409" s="55" t="s">
        <v>191</v>
      </c>
    </row>
    <row r="410" spans="1:11" s="13" customFormat="1" ht="15" customHeight="1">
      <c r="A410" s="72" t="s">
        <v>487</v>
      </c>
      <c r="B410" s="22" t="s">
        <v>7</v>
      </c>
      <c r="C410" s="144">
        <f>SUM(D410:J410)</f>
        <v>2180</v>
      </c>
      <c r="D410" s="83">
        <f>120+200-30</f>
        <v>290</v>
      </c>
      <c r="E410" s="83">
        <f>230+60</f>
        <v>290</v>
      </c>
      <c r="F410" s="140">
        <f>30+300</f>
        <v>330</v>
      </c>
      <c r="G410" s="140">
        <v>330</v>
      </c>
      <c r="H410" s="140">
        <f>30+250</f>
        <v>280</v>
      </c>
      <c r="I410" s="140">
        <f>30+300</f>
        <v>330</v>
      </c>
      <c r="J410" s="140">
        <f>30+300</f>
        <v>330</v>
      </c>
      <c r="K410" s="55"/>
    </row>
    <row r="411" spans="1:11" s="7" customFormat="1" ht="15" customHeight="1">
      <c r="A411" s="76"/>
      <c r="B411" s="9"/>
      <c r="C411" s="156"/>
      <c r="D411" s="83"/>
      <c r="E411" s="83"/>
      <c r="F411" s="140"/>
      <c r="G411" s="140"/>
      <c r="H411" s="140"/>
      <c r="I411" s="140"/>
      <c r="J411" s="140"/>
      <c r="K411" s="55"/>
    </row>
    <row r="412" spans="1:11" s="13" customFormat="1" ht="81.75" customHeight="1">
      <c r="A412" s="72" t="s">
        <v>488</v>
      </c>
      <c r="B412" s="27" t="s">
        <v>122</v>
      </c>
      <c r="C412" s="144">
        <f aca="true" t="shared" si="139" ref="C412:J412">SUM(C413)</f>
        <v>133.863</v>
      </c>
      <c r="D412" s="85">
        <f t="shared" si="139"/>
        <v>133.863</v>
      </c>
      <c r="E412" s="85">
        <f t="shared" si="139"/>
        <v>0</v>
      </c>
      <c r="F412" s="143">
        <f t="shared" si="139"/>
        <v>0</v>
      </c>
      <c r="G412" s="143">
        <f t="shared" si="139"/>
        <v>0</v>
      </c>
      <c r="H412" s="143">
        <f t="shared" si="139"/>
        <v>0</v>
      </c>
      <c r="I412" s="143">
        <f t="shared" si="139"/>
        <v>0</v>
      </c>
      <c r="J412" s="143">
        <f t="shared" si="139"/>
        <v>0</v>
      </c>
      <c r="K412" s="55" t="s">
        <v>194</v>
      </c>
    </row>
    <row r="413" spans="1:11" s="13" customFormat="1" ht="15" customHeight="1">
      <c r="A413" s="72" t="s">
        <v>489</v>
      </c>
      <c r="B413" s="22" t="s">
        <v>7</v>
      </c>
      <c r="C413" s="144">
        <f>SUM(D413:J413)</f>
        <v>133.863</v>
      </c>
      <c r="D413" s="83">
        <v>133.863</v>
      </c>
      <c r="E413" s="83">
        <v>0</v>
      </c>
      <c r="F413" s="140">
        <v>0</v>
      </c>
      <c r="G413" s="140">
        <v>0</v>
      </c>
      <c r="H413" s="140"/>
      <c r="I413" s="140"/>
      <c r="J413" s="140"/>
      <c r="K413" s="55"/>
    </row>
    <row r="414" spans="1:11" s="13" customFormat="1" ht="15" customHeight="1">
      <c r="A414" s="72"/>
      <c r="B414" s="22"/>
      <c r="C414" s="144"/>
      <c r="D414" s="83"/>
      <c r="E414" s="83"/>
      <c r="F414" s="140"/>
      <c r="G414" s="140"/>
      <c r="H414" s="140"/>
      <c r="I414" s="140"/>
      <c r="J414" s="140"/>
      <c r="K414" s="55"/>
    </row>
    <row r="415" spans="1:11" s="13" customFormat="1" ht="35.25" customHeight="1">
      <c r="A415" s="72" t="s">
        <v>508</v>
      </c>
      <c r="B415" s="27" t="s">
        <v>123</v>
      </c>
      <c r="C415" s="144">
        <f>SUM(D415:J415)</f>
        <v>160</v>
      </c>
      <c r="D415" s="85">
        <f>SUM(D416)</f>
        <v>80</v>
      </c>
      <c r="E415" s="85">
        <f aca="true" t="shared" si="140" ref="E415:J415">SUM(E416)</f>
        <v>80</v>
      </c>
      <c r="F415" s="143">
        <f t="shared" si="140"/>
        <v>0</v>
      </c>
      <c r="G415" s="143">
        <f t="shared" si="140"/>
        <v>0</v>
      </c>
      <c r="H415" s="143">
        <f t="shared" si="140"/>
        <v>0</v>
      </c>
      <c r="I415" s="143">
        <f t="shared" si="140"/>
        <v>0</v>
      </c>
      <c r="J415" s="143">
        <f t="shared" si="140"/>
        <v>0</v>
      </c>
      <c r="K415" s="55" t="s">
        <v>195</v>
      </c>
    </row>
    <row r="416" spans="1:11" s="13" customFormat="1" ht="15.75" customHeight="1">
      <c r="A416" s="75" t="s">
        <v>509</v>
      </c>
      <c r="B416" s="22" t="s">
        <v>7</v>
      </c>
      <c r="C416" s="144">
        <f>SUM(D416:J416)</f>
        <v>160</v>
      </c>
      <c r="D416" s="83">
        <v>80</v>
      </c>
      <c r="E416" s="83">
        <f>200-120</f>
        <v>80</v>
      </c>
      <c r="F416" s="140">
        <v>0</v>
      </c>
      <c r="G416" s="140">
        <v>0</v>
      </c>
      <c r="H416" s="140"/>
      <c r="I416" s="140"/>
      <c r="J416" s="140"/>
      <c r="K416" s="55"/>
    </row>
    <row r="417" spans="1:11" s="7" customFormat="1" ht="15.75" customHeight="1">
      <c r="A417" s="75"/>
      <c r="B417" s="9"/>
      <c r="C417" s="156"/>
      <c r="D417" s="83"/>
      <c r="E417" s="83"/>
      <c r="F417" s="140"/>
      <c r="G417" s="140"/>
      <c r="H417" s="140"/>
      <c r="I417" s="140"/>
      <c r="J417" s="140"/>
      <c r="K417" s="51"/>
    </row>
    <row r="418" spans="1:11" s="6" customFormat="1" ht="15" customHeight="1">
      <c r="A418" s="125"/>
      <c r="B418" s="380" t="s">
        <v>67</v>
      </c>
      <c r="C418" s="381"/>
      <c r="D418" s="381"/>
      <c r="E418" s="381"/>
      <c r="F418" s="381"/>
      <c r="G418" s="381"/>
      <c r="H418" s="381"/>
      <c r="I418" s="381"/>
      <c r="J418" s="381"/>
      <c r="K418" s="382"/>
    </row>
    <row r="419" spans="1:11" s="7" customFormat="1" ht="15.75">
      <c r="A419" s="76" t="s">
        <v>510</v>
      </c>
      <c r="B419" s="26" t="s">
        <v>68</v>
      </c>
      <c r="C419" s="156">
        <f>SUM(C420:C423)</f>
        <v>88823</v>
      </c>
      <c r="D419" s="86">
        <f>SUM(D420:D423)</f>
        <v>0</v>
      </c>
      <c r="E419" s="86">
        <f aca="true" t="shared" si="141" ref="E419:J419">SUM(E420:E423)</f>
        <v>24014</v>
      </c>
      <c r="F419" s="143">
        <f t="shared" si="141"/>
        <v>30767</v>
      </c>
      <c r="G419" s="153">
        <f t="shared" si="141"/>
        <v>34042</v>
      </c>
      <c r="H419" s="153">
        <f t="shared" si="141"/>
        <v>0</v>
      </c>
      <c r="I419" s="153">
        <f t="shared" si="141"/>
        <v>0</v>
      </c>
      <c r="J419" s="153">
        <f t="shared" si="141"/>
        <v>0</v>
      </c>
      <c r="K419" s="51"/>
    </row>
    <row r="420" spans="1:11" s="7" customFormat="1" ht="15" customHeight="1">
      <c r="A420" s="76" t="s">
        <v>511</v>
      </c>
      <c r="B420" s="9" t="s">
        <v>7</v>
      </c>
      <c r="C420" s="156">
        <f>SUM(D420:J420)</f>
        <v>0</v>
      </c>
      <c r="D420" s="88">
        <f aca="true" t="shared" si="142" ref="D420:J420">SUM(D426+D432)</f>
        <v>0</v>
      </c>
      <c r="E420" s="88">
        <f t="shared" si="142"/>
        <v>0</v>
      </c>
      <c r="F420" s="148">
        <f t="shared" si="142"/>
        <v>0</v>
      </c>
      <c r="G420" s="159">
        <f t="shared" si="142"/>
        <v>0</v>
      </c>
      <c r="H420" s="159">
        <f t="shared" si="142"/>
        <v>0</v>
      </c>
      <c r="I420" s="159">
        <f t="shared" si="142"/>
        <v>0</v>
      </c>
      <c r="J420" s="159">
        <f t="shared" si="142"/>
        <v>0</v>
      </c>
      <c r="K420" s="51"/>
    </row>
    <row r="421" spans="1:11" s="7" customFormat="1" ht="15" customHeight="1">
      <c r="A421" s="76" t="s">
        <v>512</v>
      </c>
      <c r="B421" s="9" t="s">
        <v>8</v>
      </c>
      <c r="C421" s="156">
        <f>SUM(D421:J421)</f>
        <v>0</v>
      </c>
      <c r="D421" s="88"/>
      <c r="E421" s="88"/>
      <c r="F421" s="148"/>
      <c r="G421" s="159"/>
      <c r="H421" s="159"/>
      <c r="I421" s="159"/>
      <c r="J421" s="159"/>
      <c r="K421" s="51"/>
    </row>
    <row r="422" spans="1:11" s="7" customFormat="1" ht="15" customHeight="1">
      <c r="A422" s="76" t="s">
        <v>513</v>
      </c>
      <c r="B422" s="9" t="s">
        <v>9</v>
      </c>
      <c r="C422" s="156">
        <f>SUM(D422:J422)</f>
        <v>88823</v>
      </c>
      <c r="D422" s="88">
        <f>SUM(D434)</f>
        <v>0</v>
      </c>
      <c r="E422" s="88">
        <f aca="true" t="shared" si="143" ref="E422:J422">SUM(E434)</f>
        <v>24014</v>
      </c>
      <c r="F422" s="148">
        <f t="shared" si="143"/>
        <v>30767</v>
      </c>
      <c r="G422" s="159">
        <f t="shared" si="143"/>
        <v>34042</v>
      </c>
      <c r="H422" s="159">
        <f t="shared" si="143"/>
        <v>0</v>
      </c>
      <c r="I422" s="159">
        <f t="shared" si="143"/>
        <v>0</v>
      </c>
      <c r="J422" s="159">
        <f t="shared" si="143"/>
        <v>0</v>
      </c>
      <c r="K422" s="51"/>
    </row>
    <row r="423" spans="1:11" s="7" customFormat="1" ht="15" customHeight="1">
      <c r="A423" s="76" t="s">
        <v>514</v>
      </c>
      <c r="B423" s="9" t="s">
        <v>10</v>
      </c>
      <c r="C423" s="156">
        <f>SUM(D423:J423)</f>
        <v>0</v>
      </c>
      <c r="D423" s="88"/>
      <c r="E423" s="88"/>
      <c r="F423" s="148"/>
      <c r="G423" s="159"/>
      <c r="H423" s="159"/>
      <c r="I423" s="159"/>
      <c r="J423" s="159"/>
      <c r="K423" s="51"/>
    </row>
    <row r="424" spans="1:11" s="7" customFormat="1" ht="15" customHeight="1">
      <c r="A424" s="126"/>
      <c r="B424" s="389" t="s">
        <v>11</v>
      </c>
      <c r="C424" s="390"/>
      <c r="D424" s="390"/>
      <c r="E424" s="390"/>
      <c r="F424" s="390"/>
      <c r="G424" s="390"/>
      <c r="H424" s="390"/>
      <c r="I424" s="390"/>
      <c r="J424" s="390"/>
      <c r="K424" s="391"/>
    </row>
    <row r="425" spans="1:11" s="7" customFormat="1" ht="21.75" customHeight="1">
      <c r="A425" s="76" t="s">
        <v>515</v>
      </c>
      <c r="B425" s="26" t="s">
        <v>32</v>
      </c>
      <c r="C425" s="156">
        <v>0</v>
      </c>
      <c r="D425" s="86"/>
      <c r="E425" s="86"/>
      <c r="F425" s="143"/>
      <c r="G425" s="153"/>
      <c r="H425" s="153"/>
      <c r="I425" s="153"/>
      <c r="J425" s="153"/>
      <c r="K425" s="51"/>
    </row>
    <row r="426" spans="1:11" s="7" customFormat="1" ht="15" customHeight="1">
      <c r="A426" s="76" t="s">
        <v>516</v>
      </c>
      <c r="B426" s="9" t="s">
        <v>7</v>
      </c>
      <c r="C426" s="156">
        <f>SUM(D426:J426)</f>
        <v>0</v>
      </c>
      <c r="D426" s="88"/>
      <c r="E426" s="88"/>
      <c r="F426" s="148"/>
      <c r="G426" s="159"/>
      <c r="H426" s="159"/>
      <c r="I426" s="159"/>
      <c r="J426" s="159"/>
      <c r="K426" s="51"/>
    </row>
    <row r="427" spans="1:11" s="7" customFormat="1" ht="15" customHeight="1">
      <c r="A427" s="129"/>
      <c r="B427" s="402" t="s">
        <v>12</v>
      </c>
      <c r="C427" s="403"/>
      <c r="D427" s="403"/>
      <c r="E427" s="403"/>
      <c r="F427" s="403"/>
      <c r="G427" s="403"/>
      <c r="H427" s="403"/>
      <c r="I427" s="403"/>
      <c r="J427" s="403"/>
      <c r="K427" s="404"/>
    </row>
    <row r="428" spans="1:11" s="7" customFormat="1" ht="48.75" customHeight="1">
      <c r="A428" s="76" t="s">
        <v>517</v>
      </c>
      <c r="B428" s="26" t="s">
        <v>101</v>
      </c>
      <c r="C428" s="156">
        <v>0</v>
      </c>
      <c r="D428" s="86"/>
      <c r="E428" s="86"/>
      <c r="F428" s="143"/>
      <c r="G428" s="153"/>
      <c r="H428" s="153"/>
      <c r="I428" s="153"/>
      <c r="J428" s="153"/>
      <c r="K428" s="51"/>
    </row>
    <row r="429" spans="1:11" s="7" customFormat="1" ht="15" customHeight="1">
      <c r="A429" s="76" t="s">
        <v>518</v>
      </c>
      <c r="B429" s="9" t="s">
        <v>7</v>
      </c>
      <c r="C429" s="156">
        <f>SUM(D429:J429)</f>
        <v>0</v>
      </c>
      <c r="D429" s="88"/>
      <c r="E429" s="88"/>
      <c r="F429" s="148"/>
      <c r="G429" s="159"/>
      <c r="H429" s="159"/>
      <c r="I429" s="159"/>
      <c r="J429" s="159"/>
      <c r="K429" s="51"/>
    </row>
    <row r="430" spans="1:11" s="7" customFormat="1" ht="15" customHeight="1">
      <c r="A430" s="126"/>
      <c r="B430" s="389" t="s">
        <v>15</v>
      </c>
      <c r="C430" s="390"/>
      <c r="D430" s="390"/>
      <c r="E430" s="390"/>
      <c r="F430" s="390"/>
      <c r="G430" s="390"/>
      <c r="H430" s="390"/>
      <c r="I430" s="390"/>
      <c r="J430" s="390"/>
      <c r="K430" s="391"/>
    </row>
    <row r="431" spans="1:11" s="7" customFormat="1" ht="15.75">
      <c r="A431" s="76" t="s">
        <v>519</v>
      </c>
      <c r="B431" s="26" t="s">
        <v>16</v>
      </c>
      <c r="C431" s="156">
        <f>SUM(B432:C434)</f>
        <v>88823</v>
      </c>
      <c r="D431" s="86">
        <v>0</v>
      </c>
      <c r="E431" s="85">
        <f aca="true" t="shared" si="144" ref="E431:J431">SUM(E432:E434)</f>
        <v>24014</v>
      </c>
      <c r="F431" s="143">
        <f t="shared" si="144"/>
        <v>30767</v>
      </c>
      <c r="G431" s="153">
        <f t="shared" si="144"/>
        <v>34042</v>
      </c>
      <c r="H431" s="153">
        <f t="shared" si="144"/>
        <v>0</v>
      </c>
      <c r="I431" s="153">
        <f t="shared" si="144"/>
        <v>0</v>
      </c>
      <c r="J431" s="153">
        <f t="shared" si="144"/>
        <v>0</v>
      </c>
      <c r="K431" s="57"/>
    </row>
    <row r="432" spans="1:11" s="7" customFormat="1" ht="15" customHeight="1">
      <c r="A432" s="76" t="s">
        <v>520</v>
      </c>
      <c r="B432" s="9" t="s">
        <v>7</v>
      </c>
      <c r="C432" s="156">
        <f>SUM(D432:J432)</f>
        <v>0</v>
      </c>
      <c r="D432" s="88">
        <f>SUM(D440+D443+D446+D449)</f>
        <v>0</v>
      </c>
      <c r="E432" s="68">
        <f aca="true" t="shared" si="145" ref="E432:J432">SUM(E440+E443+E446+E449)</f>
        <v>0</v>
      </c>
      <c r="F432" s="148">
        <f t="shared" si="145"/>
        <v>0</v>
      </c>
      <c r="G432" s="159">
        <f t="shared" si="145"/>
        <v>0</v>
      </c>
      <c r="H432" s="159">
        <f t="shared" si="145"/>
        <v>0</v>
      </c>
      <c r="I432" s="159">
        <f t="shared" si="145"/>
        <v>0</v>
      </c>
      <c r="J432" s="159">
        <f t="shared" si="145"/>
        <v>0</v>
      </c>
      <c r="K432" s="57"/>
    </row>
    <row r="433" spans="1:11" s="7" customFormat="1" ht="15" customHeight="1">
      <c r="A433" s="76" t="s">
        <v>521</v>
      </c>
      <c r="B433" s="9" t="s">
        <v>8</v>
      </c>
      <c r="C433" s="156">
        <f>SUM(D433:J433)</f>
        <v>0</v>
      </c>
      <c r="D433" s="88">
        <v>0</v>
      </c>
      <c r="E433" s="68">
        <v>0</v>
      </c>
      <c r="F433" s="148">
        <v>0</v>
      </c>
      <c r="G433" s="159">
        <v>0</v>
      </c>
      <c r="H433" s="159">
        <v>0</v>
      </c>
      <c r="I433" s="159">
        <v>0</v>
      </c>
      <c r="J433" s="159">
        <v>0</v>
      </c>
      <c r="K433" s="51"/>
    </row>
    <row r="434" spans="1:11" s="7" customFormat="1" ht="15" customHeight="1">
      <c r="A434" s="76" t="s">
        <v>522</v>
      </c>
      <c r="B434" s="9" t="s">
        <v>9</v>
      </c>
      <c r="C434" s="156">
        <f>SUM(D434:J434)</f>
        <v>88823</v>
      </c>
      <c r="D434" s="68">
        <f aca="true" t="shared" si="146" ref="D434:J434">SUM(D437)</f>
        <v>0</v>
      </c>
      <c r="E434" s="68">
        <f t="shared" si="146"/>
        <v>24014</v>
      </c>
      <c r="F434" s="148">
        <f t="shared" si="146"/>
        <v>30767</v>
      </c>
      <c r="G434" s="148">
        <f t="shared" si="146"/>
        <v>34042</v>
      </c>
      <c r="H434" s="148">
        <f t="shared" si="146"/>
        <v>0</v>
      </c>
      <c r="I434" s="148">
        <f t="shared" si="146"/>
        <v>0</v>
      </c>
      <c r="J434" s="148">
        <f t="shared" si="146"/>
        <v>0</v>
      </c>
      <c r="K434" s="51"/>
    </row>
    <row r="435" spans="1:11" s="7" customFormat="1" ht="15" customHeight="1">
      <c r="A435" s="76"/>
      <c r="B435" s="9"/>
      <c r="C435" s="156"/>
      <c r="D435" s="68"/>
      <c r="E435" s="68"/>
      <c r="F435" s="148"/>
      <c r="G435" s="148"/>
      <c r="H435" s="148"/>
      <c r="I435" s="148"/>
      <c r="J435" s="148"/>
      <c r="K435" s="51"/>
    </row>
    <row r="436" spans="1:11" s="13" customFormat="1" ht="61.5" customHeight="1">
      <c r="A436" s="72" t="s">
        <v>523</v>
      </c>
      <c r="B436" s="27" t="s">
        <v>69</v>
      </c>
      <c r="C436" s="143">
        <f aca="true" t="shared" si="147" ref="C436:J436">SUM(C437)</f>
        <v>88823</v>
      </c>
      <c r="D436" s="85">
        <f t="shared" si="147"/>
        <v>0</v>
      </c>
      <c r="E436" s="85">
        <f t="shared" si="147"/>
        <v>24014</v>
      </c>
      <c r="F436" s="143">
        <f t="shared" si="147"/>
        <v>30767</v>
      </c>
      <c r="G436" s="143">
        <f t="shared" si="147"/>
        <v>34042</v>
      </c>
      <c r="H436" s="143">
        <f t="shared" si="147"/>
        <v>0</v>
      </c>
      <c r="I436" s="143">
        <f t="shared" si="147"/>
        <v>0</v>
      </c>
      <c r="J436" s="143">
        <f t="shared" si="147"/>
        <v>0</v>
      </c>
      <c r="K436" s="55" t="s">
        <v>188</v>
      </c>
    </row>
    <row r="437" spans="1:11" s="13" customFormat="1" ht="15.75" customHeight="1">
      <c r="A437" s="72" t="s">
        <v>524</v>
      </c>
      <c r="B437" s="22" t="s">
        <v>9</v>
      </c>
      <c r="C437" s="144">
        <f>SUM(D437:J437)</f>
        <v>88823</v>
      </c>
      <c r="D437" s="68">
        <v>0</v>
      </c>
      <c r="E437" s="68">
        <v>24014</v>
      </c>
      <c r="F437" s="148">
        <f>30767</f>
        <v>30767</v>
      </c>
      <c r="G437" s="148">
        <v>34042</v>
      </c>
      <c r="H437" s="148"/>
      <c r="I437" s="148"/>
      <c r="J437" s="148"/>
      <c r="K437" s="55"/>
    </row>
    <row r="438" spans="1:11" s="13" customFormat="1" ht="15.75" customHeight="1">
      <c r="A438" s="72"/>
      <c r="B438" s="22"/>
      <c r="C438" s="144"/>
      <c r="D438" s="68"/>
      <c r="E438" s="68"/>
      <c r="F438" s="148"/>
      <c r="G438" s="148"/>
      <c r="H438" s="148"/>
      <c r="I438" s="148"/>
      <c r="J438" s="148"/>
      <c r="K438" s="55"/>
    </row>
    <row r="439" spans="1:11" s="13" customFormat="1" ht="50.25" customHeight="1">
      <c r="A439" s="75" t="s">
        <v>525</v>
      </c>
      <c r="B439" s="27" t="s">
        <v>230</v>
      </c>
      <c r="C439" s="144">
        <f>SUM(D439:J439)</f>
        <v>0</v>
      </c>
      <c r="D439" s="85">
        <f>SUM(D440)</f>
        <v>0</v>
      </c>
      <c r="E439" s="85">
        <f aca="true" t="shared" si="148" ref="E439:J439">SUM(E440)</f>
        <v>0</v>
      </c>
      <c r="F439" s="143">
        <f t="shared" si="148"/>
        <v>0</v>
      </c>
      <c r="G439" s="143">
        <f t="shared" si="148"/>
        <v>0</v>
      </c>
      <c r="H439" s="143">
        <f t="shared" si="148"/>
        <v>0</v>
      </c>
      <c r="I439" s="143">
        <f t="shared" si="148"/>
        <v>0</v>
      </c>
      <c r="J439" s="143">
        <f t="shared" si="148"/>
        <v>0</v>
      </c>
      <c r="K439" s="55" t="s">
        <v>198</v>
      </c>
    </row>
    <row r="440" spans="1:11" s="13" customFormat="1" ht="15.75" customHeight="1">
      <c r="A440" s="75" t="s">
        <v>526</v>
      </c>
      <c r="B440" s="22" t="s">
        <v>7</v>
      </c>
      <c r="C440" s="144">
        <f>SUM(D440:J440)</f>
        <v>0</v>
      </c>
      <c r="D440" s="83">
        <v>0</v>
      </c>
      <c r="E440" s="83">
        <v>0</v>
      </c>
      <c r="F440" s="140">
        <f>100-100</f>
        <v>0</v>
      </c>
      <c r="G440" s="140">
        <v>0</v>
      </c>
      <c r="H440" s="140"/>
      <c r="I440" s="140"/>
      <c r="J440" s="140"/>
      <c r="K440" s="55"/>
    </row>
    <row r="441" spans="1:11" s="13" customFormat="1" ht="15.75" customHeight="1">
      <c r="A441" s="75"/>
      <c r="B441" s="22"/>
      <c r="C441" s="144"/>
      <c r="D441" s="83"/>
      <c r="E441" s="83"/>
      <c r="F441" s="140"/>
      <c r="G441" s="140"/>
      <c r="H441" s="140"/>
      <c r="I441" s="140"/>
      <c r="J441" s="140"/>
      <c r="K441" s="55"/>
    </row>
    <row r="442" spans="1:11" s="13" customFormat="1" ht="65.25" customHeight="1">
      <c r="A442" s="75" t="s">
        <v>527</v>
      </c>
      <c r="B442" s="27" t="s">
        <v>231</v>
      </c>
      <c r="C442" s="144">
        <f>SUM(D442:J442)</f>
        <v>0</v>
      </c>
      <c r="D442" s="85">
        <f aca="true" t="shared" si="149" ref="D442:J442">SUM(D443)</f>
        <v>0</v>
      </c>
      <c r="E442" s="85">
        <f t="shared" si="149"/>
        <v>0</v>
      </c>
      <c r="F442" s="143">
        <f t="shared" si="149"/>
        <v>0</v>
      </c>
      <c r="G442" s="143">
        <f t="shared" si="149"/>
        <v>0</v>
      </c>
      <c r="H442" s="143">
        <f t="shared" si="149"/>
        <v>0</v>
      </c>
      <c r="I442" s="143">
        <f t="shared" si="149"/>
        <v>0</v>
      </c>
      <c r="J442" s="143">
        <f t="shared" si="149"/>
        <v>0</v>
      </c>
      <c r="K442" s="55" t="s">
        <v>196</v>
      </c>
    </row>
    <row r="443" spans="1:11" s="13" customFormat="1" ht="15.75" customHeight="1">
      <c r="A443" s="75" t="s">
        <v>528</v>
      </c>
      <c r="B443" s="22" t="s">
        <v>7</v>
      </c>
      <c r="C443" s="144">
        <f>SUM(D443:J443)</f>
        <v>0</v>
      </c>
      <c r="D443" s="83"/>
      <c r="E443" s="83"/>
      <c r="F443" s="140"/>
      <c r="G443" s="140"/>
      <c r="H443" s="140"/>
      <c r="I443" s="140"/>
      <c r="J443" s="140"/>
      <c r="K443" s="55"/>
    </row>
    <row r="444" spans="1:11" s="13" customFormat="1" ht="15.75" customHeight="1">
      <c r="A444" s="75"/>
      <c r="B444" s="22"/>
      <c r="C444" s="144"/>
      <c r="D444" s="83"/>
      <c r="E444" s="83"/>
      <c r="F444" s="140"/>
      <c r="G444" s="140"/>
      <c r="H444" s="140"/>
      <c r="I444" s="140"/>
      <c r="J444" s="140"/>
      <c r="K444" s="55"/>
    </row>
    <row r="445" spans="1:11" s="13" customFormat="1" ht="51" customHeight="1">
      <c r="A445" s="75" t="s">
        <v>530</v>
      </c>
      <c r="B445" s="27" t="s">
        <v>232</v>
      </c>
      <c r="C445" s="144">
        <v>0</v>
      </c>
      <c r="D445" s="85">
        <f aca="true" t="shared" si="150" ref="D445:J445">SUM(D446)</f>
        <v>0</v>
      </c>
      <c r="E445" s="85">
        <f t="shared" si="150"/>
        <v>0</v>
      </c>
      <c r="F445" s="143">
        <f t="shared" si="150"/>
        <v>0</v>
      </c>
      <c r="G445" s="143">
        <f t="shared" si="150"/>
        <v>0</v>
      </c>
      <c r="H445" s="143">
        <f t="shared" si="150"/>
        <v>0</v>
      </c>
      <c r="I445" s="143">
        <f t="shared" si="150"/>
        <v>0</v>
      </c>
      <c r="J445" s="143">
        <f t="shared" si="150"/>
        <v>0</v>
      </c>
      <c r="K445" s="55" t="s">
        <v>197</v>
      </c>
    </row>
    <row r="446" spans="1:11" s="13" customFormat="1" ht="15.75" customHeight="1">
      <c r="A446" s="75" t="s">
        <v>531</v>
      </c>
      <c r="B446" s="22" t="s">
        <v>7</v>
      </c>
      <c r="C446" s="144">
        <v>0</v>
      </c>
      <c r="D446" s="83"/>
      <c r="E446" s="83"/>
      <c r="F446" s="140"/>
      <c r="G446" s="140"/>
      <c r="H446" s="140"/>
      <c r="I446" s="140"/>
      <c r="J446" s="140"/>
      <c r="K446" s="55"/>
    </row>
    <row r="447" spans="1:11" s="13" customFormat="1" ht="15.75" customHeight="1">
      <c r="A447" s="75"/>
      <c r="B447" s="22"/>
      <c r="C447" s="144"/>
      <c r="D447" s="83"/>
      <c r="E447" s="83"/>
      <c r="F447" s="140"/>
      <c r="G447" s="140"/>
      <c r="H447" s="140"/>
      <c r="I447" s="140"/>
      <c r="J447" s="140"/>
      <c r="K447" s="55"/>
    </row>
    <row r="448" spans="1:11" s="13" customFormat="1" ht="66.75" customHeight="1">
      <c r="A448" s="75" t="s">
        <v>723</v>
      </c>
      <c r="B448" s="27" t="s">
        <v>233</v>
      </c>
      <c r="C448" s="144">
        <f>SUM(D448:J448)</f>
        <v>0</v>
      </c>
      <c r="D448" s="85">
        <f aca="true" t="shared" si="151" ref="D448:J448">SUM(D449)</f>
        <v>0</v>
      </c>
      <c r="E448" s="85">
        <f t="shared" si="151"/>
        <v>0</v>
      </c>
      <c r="F448" s="143">
        <f t="shared" si="151"/>
        <v>0</v>
      </c>
      <c r="G448" s="143">
        <f t="shared" si="151"/>
        <v>0</v>
      </c>
      <c r="H448" s="143">
        <f t="shared" si="151"/>
        <v>0</v>
      </c>
      <c r="I448" s="143">
        <f t="shared" si="151"/>
        <v>0</v>
      </c>
      <c r="J448" s="143">
        <f t="shared" si="151"/>
        <v>0</v>
      </c>
      <c r="K448" s="55" t="s">
        <v>198</v>
      </c>
    </row>
    <row r="449" spans="1:11" s="13" customFormat="1" ht="15.75" customHeight="1">
      <c r="A449" s="75" t="s">
        <v>724</v>
      </c>
      <c r="B449" s="22" t="s">
        <v>7</v>
      </c>
      <c r="C449" s="144">
        <f>SUM(D449:J449)</f>
        <v>0</v>
      </c>
      <c r="D449" s="140"/>
      <c r="E449" s="140"/>
      <c r="F449" s="140"/>
      <c r="G449" s="140"/>
      <c r="H449" s="140"/>
      <c r="I449" s="140"/>
      <c r="J449" s="140"/>
      <c r="K449" s="55"/>
    </row>
    <row r="451" ht="12.75" customHeight="1" hidden="1">
      <c r="C451" s="3" t="s">
        <v>43</v>
      </c>
    </row>
    <row r="452" spans="2:11" ht="12.75" customHeight="1" hidden="1">
      <c r="B452" s="32" t="s">
        <v>44</v>
      </c>
      <c r="C452" s="14">
        <f aca="true" t="shared" si="152" ref="C452:C457">SUM(D452:J452)</f>
        <v>4957709.87919</v>
      </c>
      <c r="D452" s="33">
        <f aca="true" t="shared" si="153" ref="D452:J452">SUM(D15)</f>
        <v>707299.138</v>
      </c>
      <c r="E452" s="33">
        <f t="shared" si="153"/>
        <v>713636.937</v>
      </c>
      <c r="F452" s="23">
        <f t="shared" si="153"/>
        <v>704438.8596000001</v>
      </c>
      <c r="G452" s="33">
        <f t="shared" si="153"/>
        <v>725585.34459</v>
      </c>
      <c r="H452" s="33">
        <f t="shared" si="153"/>
        <v>716245.5</v>
      </c>
      <c r="I452" s="33">
        <f t="shared" si="153"/>
        <v>686587.8</v>
      </c>
      <c r="J452" s="33">
        <f t="shared" si="153"/>
        <v>703916.3</v>
      </c>
      <c r="K452" s="58"/>
    </row>
    <row r="453" spans="2:11" ht="12.75" customHeight="1" hidden="1">
      <c r="B453" s="34" t="s">
        <v>45</v>
      </c>
      <c r="C453" s="35">
        <f t="shared" si="152"/>
        <v>36798.448000000004</v>
      </c>
      <c r="D453" s="36">
        <f>SUM(D216+D248+D254)</f>
        <v>36798.448000000004</v>
      </c>
      <c r="E453" s="36">
        <f aca="true" t="shared" si="154" ref="E453:J453">SUM(E216+E248)</f>
        <v>0</v>
      </c>
      <c r="F453" s="134">
        <f t="shared" si="154"/>
        <v>0</v>
      </c>
      <c r="G453" s="36">
        <f t="shared" si="154"/>
        <v>0</v>
      </c>
      <c r="H453" s="36">
        <f t="shared" si="154"/>
        <v>0</v>
      </c>
      <c r="I453" s="36">
        <f t="shared" si="154"/>
        <v>0</v>
      </c>
      <c r="J453" s="36">
        <f t="shared" si="154"/>
        <v>0</v>
      </c>
      <c r="K453" s="51"/>
    </row>
    <row r="454" spans="2:11" ht="12.75" customHeight="1" hidden="1">
      <c r="B454" s="34" t="s">
        <v>61</v>
      </c>
      <c r="C454" s="35">
        <f t="shared" si="152"/>
        <v>57099.123</v>
      </c>
      <c r="D454" s="36">
        <f aca="true" t="shared" si="155" ref="D454:J454">SUM(D40)</f>
        <v>49099.123</v>
      </c>
      <c r="E454" s="36">
        <f t="shared" si="155"/>
        <v>0</v>
      </c>
      <c r="F454" s="134">
        <f t="shared" si="155"/>
        <v>0</v>
      </c>
      <c r="G454" s="36">
        <f t="shared" si="155"/>
        <v>8000</v>
      </c>
      <c r="H454" s="36">
        <f t="shared" si="155"/>
        <v>0</v>
      </c>
      <c r="I454" s="36">
        <f t="shared" si="155"/>
        <v>0</v>
      </c>
      <c r="J454" s="36">
        <f t="shared" si="155"/>
        <v>0</v>
      </c>
      <c r="K454" s="51"/>
    </row>
    <row r="455" spans="2:11" ht="12.75" customHeight="1" hidden="1">
      <c r="B455" s="34" t="s">
        <v>62</v>
      </c>
      <c r="C455" s="35">
        <f t="shared" si="152"/>
        <v>3103.2219999999998</v>
      </c>
      <c r="D455" s="36">
        <f aca="true" t="shared" si="156" ref="D455:J455">SUM(D117)</f>
        <v>2207</v>
      </c>
      <c r="E455" s="36">
        <f t="shared" si="156"/>
        <v>896.222</v>
      </c>
      <c r="F455" s="134">
        <f t="shared" si="156"/>
        <v>0</v>
      </c>
      <c r="G455" s="36">
        <f t="shared" si="156"/>
        <v>0</v>
      </c>
      <c r="H455" s="36">
        <f t="shared" si="156"/>
        <v>0</v>
      </c>
      <c r="I455" s="36">
        <f t="shared" si="156"/>
        <v>0</v>
      </c>
      <c r="J455" s="36">
        <f t="shared" si="156"/>
        <v>0</v>
      </c>
      <c r="K455" s="51"/>
    </row>
    <row r="456" spans="2:11" ht="12.75" customHeight="1" hidden="1">
      <c r="B456" s="34" t="s">
        <v>49</v>
      </c>
      <c r="C456" s="35">
        <f t="shared" si="152"/>
        <v>291697.4</v>
      </c>
      <c r="D456" s="36">
        <f aca="true" t="shared" si="157" ref="D456:J456">SUM(D19)</f>
        <v>35197.4</v>
      </c>
      <c r="E456" s="36">
        <f t="shared" si="157"/>
        <v>38000</v>
      </c>
      <c r="F456" s="134">
        <f t="shared" si="157"/>
        <v>41700</v>
      </c>
      <c r="G456" s="36">
        <f t="shared" si="157"/>
        <v>44200</v>
      </c>
      <c r="H456" s="36">
        <f t="shared" si="157"/>
        <v>44200</v>
      </c>
      <c r="I456" s="36">
        <f t="shared" si="157"/>
        <v>44200</v>
      </c>
      <c r="J456" s="36">
        <f t="shared" si="157"/>
        <v>44200</v>
      </c>
      <c r="K456" s="51"/>
    </row>
    <row r="457" spans="2:11" ht="12.75" customHeight="1" hidden="1">
      <c r="B457" s="37"/>
      <c r="C457" s="35">
        <f t="shared" si="152"/>
        <v>0</v>
      </c>
      <c r="D457" s="36"/>
      <c r="E457" s="36"/>
      <c r="F457" s="134"/>
      <c r="G457" s="36"/>
      <c r="H457" s="36"/>
      <c r="I457" s="36"/>
      <c r="J457" s="36"/>
      <c r="K457" s="51"/>
    </row>
    <row r="458" spans="2:11" ht="12.75" customHeight="1" hidden="1">
      <c r="B458" s="79"/>
      <c r="C458" s="14"/>
      <c r="D458" s="30"/>
      <c r="E458" s="30"/>
      <c r="F458" s="31"/>
      <c r="G458" s="30"/>
      <c r="H458" s="30"/>
      <c r="I458" s="30"/>
      <c r="J458" s="30"/>
      <c r="K458" s="51"/>
    </row>
    <row r="459" spans="2:11" ht="12.75" customHeight="1" hidden="1">
      <c r="B459" s="38" t="s">
        <v>46</v>
      </c>
      <c r="C459" s="39">
        <f>SUM(D459:J459)</f>
        <v>1400</v>
      </c>
      <c r="D459" s="40">
        <v>400</v>
      </c>
      <c r="E459" s="41">
        <v>500</v>
      </c>
      <c r="F459" s="41">
        <v>500</v>
      </c>
      <c r="G459" s="41"/>
      <c r="H459" s="41"/>
      <c r="I459" s="41"/>
      <c r="J459" s="41"/>
      <c r="K459" s="51"/>
    </row>
    <row r="460" spans="2:11" ht="25.5" customHeight="1" hidden="1">
      <c r="B460" s="44" t="s">
        <v>56</v>
      </c>
      <c r="C460" s="39">
        <f>SUM(D460:J460)</f>
        <v>199.6</v>
      </c>
      <c r="D460" s="40">
        <v>99.6</v>
      </c>
      <c r="E460" s="41">
        <v>24</v>
      </c>
      <c r="F460" s="41">
        <v>76</v>
      </c>
      <c r="G460" s="41"/>
      <c r="H460" s="41"/>
      <c r="I460" s="41"/>
      <c r="J460" s="41"/>
      <c r="K460" s="51"/>
    </row>
    <row r="461" spans="2:11" ht="12.75" customHeight="1" hidden="1">
      <c r="B461" s="38" t="s">
        <v>47</v>
      </c>
      <c r="C461" s="39">
        <f>SUM(D461:J461)</f>
        <v>735</v>
      </c>
      <c r="D461" s="40">
        <f>243.2+248.6</f>
        <v>491.79999999999995</v>
      </c>
      <c r="E461" s="41"/>
      <c r="F461" s="41">
        <v>243.2</v>
      </c>
      <c r="G461" s="41"/>
      <c r="H461" s="41"/>
      <c r="I461" s="41"/>
      <c r="J461" s="41"/>
      <c r="K461" s="51"/>
    </row>
    <row r="462" spans="2:11" ht="25.5" customHeight="1" hidden="1">
      <c r="B462" s="44" t="s">
        <v>55</v>
      </c>
      <c r="C462" s="39">
        <f>SUM(D462:J462)</f>
        <v>390</v>
      </c>
      <c r="D462" s="40">
        <v>390</v>
      </c>
      <c r="E462" s="41"/>
      <c r="F462" s="41"/>
      <c r="G462" s="41"/>
      <c r="H462" s="41"/>
      <c r="I462" s="41"/>
      <c r="J462" s="41"/>
      <c r="K462" s="51"/>
    </row>
    <row r="463" spans="2:11" ht="25.5" customHeight="1" hidden="1">
      <c r="B463" s="44" t="s">
        <v>54</v>
      </c>
      <c r="C463" s="39">
        <f>SUM(D463:J463)</f>
        <v>14953</v>
      </c>
      <c r="D463" s="40">
        <f>8343+6610</f>
        <v>14953</v>
      </c>
      <c r="E463" s="41"/>
      <c r="F463" s="41"/>
      <c r="G463" s="41"/>
      <c r="H463" s="41"/>
      <c r="I463" s="41"/>
      <c r="J463" s="41"/>
      <c r="K463" s="51"/>
    </row>
    <row r="464" spans="2:11" ht="12.75" customHeight="1" hidden="1">
      <c r="B464" s="79"/>
      <c r="C464" s="14"/>
      <c r="D464" s="30"/>
      <c r="E464" s="31"/>
      <c r="F464" s="31"/>
      <c r="G464" s="31"/>
      <c r="H464" s="31"/>
      <c r="I464" s="31"/>
      <c r="J464" s="31"/>
      <c r="K464" s="51"/>
    </row>
    <row r="465" spans="2:11" ht="12.75" customHeight="1" hidden="1">
      <c r="B465" s="79" t="s">
        <v>53</v>
      </c>
      <c r="C465" s="14">
        <f>SUM(D465:J465)</f>
        <v>4586689.28619</v>
      </c>
      <c r="D465" s="30">
        <f>SUM(D452-D453-D454-D455-D456-D457+D459+D460+D461+D462+D463)</f>
        <v>600331.567</v>
      </c>
      <c r="E465" s="30">
        <f aca="true" t="shared" si="158" ref="E465:J465">SUM(E452-E453-E454-E455-E456-E457+E459+E460+E461+E462+E463)</f>
        <v>675264.7150000001</v>
      </c>
      <c r="F465" s="31">
        <f t="shared" si="158"/>
        <v>663558.0596</v>
      </c>
      <c r="G465" s="30">
        <f t="shared" si="158"/>
        <v>673385.34459</v>
      </c>
      <c r="H465" s="30">
        <f t="shared" si="158"/>
        <v>672045.5</v>
      </c>
      <c r="I465" s="30">
        <f t="shared" si="158"/>
        <v>642387.8</v>
      </c>
      <c r="J465" s="30">
        <f t="shared" si="158"/>
        <v>659716.3</v>
      </c>
      <c r="K465" s="51"/>
    </row>
    <row r="466" spans="1:11" s="3" customFormat="1" ht="38.25" customHeight="1" hidden="1">
      <c r="A466" s="122"/>
      <c r="B466" s="62" t="s">
        <v>60</v>
      </c>
      <c r="C466" s="14">
        <f>SUM(D466:J466)</f>
        <v>1879872.9599999997</v>
      </c>
      <c r="D466" s="33">
        <f>577370.1-1100+1148+877+1245.1+750+390+248.6+8343+6610+3606.7+210.16-1207+657.7+6741-9304-896</f>
        <v>595690.3599999999</v>
      </c>
      <c r="E466" s="33">
        <f>609594.9+5000+930</f>
        <v>615524.9</v>
      </c>
      <c r="F466" s="23">
        <f>662674.7+5000+983</f>
        <v>668657.7</v>
      </c>
      <c r="G466" s="33"/>
      <c r="H466" s="33"/>
      <c r="I466" s="33"/>
      <c r="J466" s="33"/>
      <c r="K466" s="58"/>
    </row>
    <row r="467" spans="1:11" s="42" customFormat="1" ht="12.75" customHeight="1" hidden="1">
      <c r="A467" s="122"/>
      <c r="B467" s="79" t="s">
        <v>48</v>
      </c>
      <c r="C467" s="82">
        <f>SUM(D467:J467)</f>
        <v>2706816.3261900004</v>
      </c>
      <c r="D467" s="43">
        <f aca="true" t="shared" si="159" ref="D467:J467">D465-D466</f>
        <v>4641.2070000001695</v>
      </c>
      <c r="E467" s="43">
        <f t="shared" si="159"/>
        <v>59739.81500000006</v>
      </c>
      <c r="F467" s="20">
        <f t="shared" si="159"/>
        <v>-5099.640399999917</v>
      </c>
      <c r="G467" s="43">
        <f t="shared" si="159"/>
        <v>673385.34459</v>
      </c>
      <c r="H467" s="43">
        <f t="shared" si="159"/>
        <v>672045.5</v>
      </c>
      <c r="I467" s="43">
        <f t="shared" si="159"/>
        <v>642387.8</v>
      </c>
      <c r="J467" s="43">
        <f t="shared" si="159"/>
        <v>659716.3</v>
      </c>
      <c r="K467" s="53"/>
    </row>
    <row r="468" ht="12.75" customHeight="1" hidden="1"/>
    <row r="469" ht="12.75" customHeight="1" hidden="1"/>
    <row r="470" spans="2:3" ht="12.75" customHeight="1" hidden="1">
      <c r="B470" s="61" t="s">
        <v>50</v>
      </c>
      <c r="C470" s="3" t="s">
        <v>51</v>
      </c>
    </row>
    <row r="471" ht="12.75" customHeight="1" hidden="1"/>
    <row r="472" ht="12.75" customHeight="1" hidden="1">
      <c r="B472" s="78" t="s">
        <v>59</v>
      </c>
    </row>
    <row r="473" ht="12.75" customHeight="1" hidden="1"/>
    <row r="474" ht="12.75" customHeight="1" hidden="1"/>
  </sheetData>
  <sheetProtection/>
  <mergeCells count="42">
    <mergeCell ref="H1:K1"/>
    <mergeCell ref="H2:K2"/>
    <mergeCell ref="H3:K3"/>
    <mergeCell ref="H4:K4"/>
    <mergeCell ref="B424:K424"/>
    <mergeCell ref="B427:K427"/>
    <mergeCell ref="B330:K330"/>
    <mergeCell ref="B167:K167"/>
    <mergeCell ref="B387:K387"/>
    <mergeCell ref="B418:K418"/>
    <mergeCell ref="B379:K379"/>
    <mergeCell ref="B375:K375"/>
    <mergeCell ref="B430:K430"/>
    <mergeCell ref="B150:K150"/>
    <mergeCell ref="B182:K182"/>
    <mergeCell ref="B298:K298"/>
    <mergeCell ref="B303:K303"/>
    <mergeCell ref="B308:K308"/>
    <mergeCell ref="B317:K317"/>
    <mergeCell ref="B369:K369"/>
    <mergeCell ref="B339:K339"/>
    <mergeCell ref="B156:K156"/>
    <mergeCell ref="B342:K342"/>
    <mergeCell ref="B363:K363"/>
    <mergeCell ref="B70:K70"/>
    <mergeCell ref="B144:K144"/>
    <mergeCell ref="A8:K8"/>
    <mergeCell ref="A9:K9"/>
    <mergeCell ref="C13:C14"/>
    <mergeCell ref="B12:B14"/>
    <mergeCell ref="K12:K14"/>
    <mergeCell ref="B336:K336"/>
    <mergeCell ref="H5:K5"/>
    <mergeCell ref="A10:K10"/>
    <mergeCell ref="B33:K33"/>
    <mergeCell ref="A12:A14"/>
    <mergeCell ref="B45:K45"/>
    <mergeCell ref="B63:K63"/>
    <mergeCell ref="B39:K39"/>
    <mergeCell ref="H6:K6"/>
    <mergeCell ref="H7:K7"/>
    <mergeCell ref="C12:J12"/>
  </mergeCells>
  <printOptions/>
  <pageMargins left="0.3937007874015748" right="0" top="0.1968503937007874" bottom="0.15748031496062992" header="0.11811023622047245" footer="0"/>
  <pageSetup horizontalDpi="600" verticalDpi="600" orientation="landscape" paperSize="9" scale="65" r:id="rId1"/>
  <rowBreaks count="12" manualBreakCount="12">
    <brk id="44" max="10" man="1"/>
    <brk id="87" max="10" man="1"/>
    <brk id="118" max="10" man="1"/>
    <brk id="155" max="10" man="1"/>
    <brk id="194" max="10" man="1"/>
    <brk id="236" max="10" man="1"/>
    <brk id="262" max="10" man="1"/>
    <brk id="297" max="10" man="1"/>
    <brk id="338" max="10" man="1"/>
    <brk id="374" max="10" man="1"/>
    <brk id="405" max="10" man="1"/>
    <brk id="4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7">
      <selection activeCell="H18" sqref="H18"/>
    </sheetView>
  </sheetViews>
  <sheetFormatPr defaultColWidth="9.00390625" defaultRowHeight="12.75"/>
  <cols>
    <col min="1" max="1" width="7.00390625" style="96" customWidth="1"/>
    <col min="2" max="2" width="40.00390625" style="99" customWidth="1"/>
    <col min="3" max="3" width="16.25390625" style="0" customWidth="1"/>
    <col min="4" max="4" width="15.25390625" style="0" customWidth="1"/>
    <col min="5" max="5" width="12.75390625" style="0" customWidth="1"/>
    <col min="6" max="6" width="11.125" style="0" customWidth="1"/>
    <col min="7" max="7" width="9.00390625" style="0" customWidth="1"/>
    <col min="8" max="8" width="12.125" style="0" customWidth="1"/>
    <col min="9" max="10" width="13.125" style="0" customWidth="1"/>
    <col min="11" max="16" width="11.125" style="0" customWidth="1"/>
  </cols>
  <sheetData>
    <row r="1" spans="1:16" s="1" customFormat="1" ht="15.75" hidden="1">
      <c r="A1" s="71"/>
      <c r="B1" s="2"/>
      <c r="C1" s="80"/>
      <c r="G1" s="60"/>
      <c r="H1" s="60"/>
      <c r="I1" s="60"/>
      <c r="J1" s="378" t="s">
        <v>165</v>
      </c>
      <c r="K1" s="378"/>
      <c r="L1" s="378"/>
      <c r="M1" s="378"/>
      <c r="N1" s="378"/>
      <c r="O1" s="378"/>
      <c r="P1" s="378"/>
    </row>
    <row r="2" spans="1:16" s="1" customFormat="1" ht="15.75" hidden="1">
      <c r="A2" s="71"/>
      <c r="B2" s="59"/>
      <c r="C2" s="81"/>
      <c r="E2" s="60"/>
      <c r="F2" s="60"/>
      <c r="G2" s="60"/>
      <c r="H2" s="60"/>
      <c r="I2" s="60"/>
      <c r="J2" s="378" t="s">
        <v>166</v>
      </c>
      <c r="K2" s="378"/>
      <c r="L2" s="378"/>
      <c r="M2" s="378"/>
      <c r="N2" s="378"/>
      <c r="O2" s="378"/>
      <c r="P2" s="378"/>
    </row>
    <row r="3" spans="1:16" s="1" customFormat="1" ht="15.75" hidden="1">
      <c r="A3" s="71"/>
      <c r="B3" s="59"/>
      <c r="C3" s="81"/>
      <c r="E3" s="46"/>
      <c r="F3" s="46"/>
      <c r="G3" s="46"/>
      <c r="H3" s="46"/>
      <c r="I3" s="46"/>
      <c r="J3" s="378" t="s">
        <v>167</v>
      </c>
      <c r="K3" s="378"/>
      <c r="L3" s="378"/>
      <c r="M3" s="378"/>
      <c r="N3" s="378"/>
      <c r="O3" s="378"/>
      <c r="P3" s="378"/>
    </row>
    <row r="4" spans="1:16" s="1" customFormat="1" ht="15.75" hidden="1">
      <c r="A4" s="71"/>
      <c r="B4" s="59"/>
      <c r="C4" s="81"/>
      <c r="D4" s="121"/>
      <c r="E4" s="46"/>
      <c r="F4" s="46"/>
      <c r="G4" s="46"/>
      <c r="H4" s="46"/>
      <c r="I4" s="46"/>
      <c r="J4" s="378" t="s">
        <v>141</v>
      </c>
      <c r="K4" s="378"/>
      <c r="L4" s="378"/>
      <c r="M4" s="378"/>
      <c r="N4" s="378"/>
      <c r="O4" s="378"/>
      <c r="P4" s="378"/>
    </row>
    <row r="5" spans="1:16" s="1" customFormat="1" ht="15.75" hidden="1">
      <c r="A5" s="71"/>
      <c r="B5" s="59"/>
      <c r="C5" s="81"/>
      <c r="E5" s="46"/>
      <c r="F5" s="46"/>
      <c r="G5" s="46"/>
      <c r="H5" s="46"/>
      <c r="I5" s="95"/>
      <c r="J5" s="378" t="s">
        <v>168</v>
      </c>
      <c r="K5" s="378"/>
      <c r="L5" s="378"/>
      <c r="M5" s="378"/>
      <c r="N5" s="378"/>
      <c r="O5" s="378"/>
      <c r="P5" s="378"/>
    </row>
    <row r="6" spans="1:16" s="1" customFormat="1" ht="15.75" hidden="1">
      <c r="A6" s="71"/>
      <c r="B6" s="59"/>
      <c r="C6" s="81"/>
      <c r="D6" s="121"/>
      <c r="E6" s="46"/>
      <c r="F6" s="46"/>
      <c r="G6" s="46"/>
      <c r="H6" s="95"/>
      <c r="I6" s="95"/>
      <c r="J6" s="378" t="s">
        <v>169</v>
      </c>
      <c r="K6" s="378"/>
      <c r="L6" s="378"/>
      <c r="M6" s="378"/>
      <c r="N6" s="378"/>
      <c r="O6" s="378"/>
      <c r="P6" s="378"/>
    </row>
    <row r="7" spans="2:17" s="1" customFormat="1" ht="15">
      <c r="B7" s="2"/>
      <c r="D7" s="60"/>
      <c r="E7" s="60"/>
      <c r="F7" s="60"/>
      <c r="I7" s="109"/>
      <c r="J7" s="109"/>
      <c r="K7" s="109"/>
      <c r="L7" s="109"/>
      <c r="M7" s="109"/>
      <c r="N7" s="109"/>
      <c r="O7" s="109"/>
      <c r="P7" s="109"/>
      <c r="Q7" s="93"/>
    </row>
    <row r="8" spans="2:16" s="94" customFormat="1" ht="12.75">
      <c r="B8" s="78"/>
      <c r="D8" s="95"/>
      <c r="E8" s="95"/>
      <c r="F8" s="95"/>
      <c r="I8" s="95"/>
      <c r="J8" s="95"/>
      <c r="K8" s="95"/>
      <c r="L8" s="95"/>
      <c r="M8" s="95"/>
      <c r="N8" s="95"/>
      <c r="O8" s="95"/>
      <c r="P8" s="95"/>
    </row>
    <row r="9" spans="1:2" s="1" customFormat="1" ht="15">
      <c r="A9" s="96"/>
      <c r="B9" s="2"/>
    </row>
    <row r="10" spans="1:16" s="1" customFormat="1" ht="15.75">
      <c r="A10" s="379" t="s">
        <v>142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</row>
    <row r="11" spans="1:16" s="1" customFormat="1" ht="15.75">
      <c r="A11" s="379" t="s">
        <v>143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</row>
    <row r="12" spans="1:16" s="1" customFormat="1" ht="15.75">
      <c r="A12" s="379" t="s">
        <v>144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</row>
    <row r="13" spans="1:2" s="1" customFormat="1" ht="15">
      <c r="A13" s="96"/>
      <c r="B13" s="2"/>
    </row>
    <row r="14" spans="1:16" s="3" customFormat="1" ht="35.25" customHeight="1">
      <c r="A14" s="396" t="s">
        <v>3</v>
      </c>
      <c r="B14" s="396" t="s">
        <v>156</v>
      </c>
      <c r="C14" s="405" t="s">
        <v>146</v>
      </c>
      <c r="D14" s="405" t="s">
        <v>148</v>
      </c>
      <c r="E14" s="416" t="s">
        <v>150</v>
      </c>
      <c r="F14" s="416"/>
      <c r="G14" s="408" t="s">
        <v>153</v>
      </c>
      <c r="H14" s="409"/>
      <c r="I14" s="412" t="s">
        <v>88</v>
      </c>
      <c r="J14" s="413"/>
      <c r="K14" s="413"/>
      <c r="L14" s="413"/>
      <c r="M14" s="413"/>
      <c r="N14" s="413"/>
      <c r="O14" s="413"/>
      <c r="P14" s="414"/>
    </row>
    <row r="15" spans="1:16" s="3" customFormat="1" ht="35.25" customHeight="1">
      <c r="A15" s="398"/>
      <c r="B15" s="398"/>
      <c r="C15" s="406"/>
      <c r="D15" s="406"/>
      <c r="E15" s="417" t="s">
        <v>151</v>
      </c>
      <c r="F15" s="417" t="s">
        <v>152</v>
      </c>
      <c r="G15" s="410"/>
      <c r="H15" s="411"/>
      <c r="I15" s="415" t="s">
        <v>5</v>
      </c>
      <c r="J15" s="104" t="s">
        <v>91</v>
      </c>
      <c r="K15" s="104" t="s">
        <v>92</v>
      </c>
      <c r="L15" s="104" t="s">
        <v>93</v>
      </c>
      <c r="M15" s="104" t="s">
        <v>94</v>
      </c>
      <c r="N15" s="104" t="s">
        <v>95</v>
      </c>
      <c r="O15" s="104" t="s">
        <v>96</v>
      </c>
      <c r="P15" s="104" t="s">
        <v>97</v>
      </c>
    </row>
    <row r="16" spans="1:16" s="3" customFormat="1" ht="30.75" customHeight="1">
      <c r="A16" s="397"/>
      <c r="B16" s="397"/>
      <c r="C16" s="407"/>
      <c r="D16" s="407"/>
      <c r="E16" s="418"/>
      <c r="F16" s="418"/>
      <c r="G16" s="103" t="s">
        <v>154</v>
      </c>
      <c r="H16" s="97" t="s">
        <v>155</v>
      </c>
      <c r="I16" s="415"/>
      <c r="J16" s="4">
        <v>2014</v>
      </c>
      <c r="K16" s="4">
        <v>2015</v>
      </c>
      <c r="L16" s="4">
        <v>2016</v>
      </c>
      <c r="M16" s="4">
        <v>2017</v>
      </c>
      <c r="N16" s="4">
        <v>2018</v>
      </c>
      <c r="O16" s="4">
        <v>2019</v>
      </c>
      <c r="P16" s="4">
        <v>2020</v>
      </c>
    </row>
    <row r="17" spans="1:16" s="94" customFormat="1" ht="15" customHeight="1">
      <c r="A17" s="98">
        <v>1</v>
      </c>
      <c r="B17" s="98">
        <v>2</v>
      </c>
      <c r="C17" s="97">
        <v>3</v>
      </c>
      <c r="D17" s="97">
        <v>4</v>
      </c>
      <c r="E17" s="97">
        <v>5</v>
      </c>
      <c r="F17" s="97">
        <v>6</v>
      </c>
      <c r="G17" s="97">
        <v>7</v>
      </c>
      <c r="H17" s="97">
        <v>8</v>
      </c>
      <c r="I17" s="97">
        <v>9</v>
      </c>
      <c r="J17" s="97">
        <v>10</v>
      </c>
      <c r="K17" s="97">
        <v>11</v>
      </c>
      <c r="L17" s="97">
        <v>12</v>
      </c>
      <c r="M17" s="97">
        <v>13</v>
      </c>
      <c r="N17" s="97">
        <v>14</v>
      </c>
      <c r="O17" s="97">
        <v>15</v>
      </c>
      <c r="P17" s="97">
        <v>16</v>
      </c>
    </row>
    <row r="18" spans="1:16" s="15" customFormat="1" ht="39" customHeight="1">
      <c r="A18" s="105">
        <v>1</v>
      </c>
      <c r="B18" s="106" t="s">
        <v>160</v>
      </c>
      <c r="C18" s="107" t="s">
        <v>159</v>
      </c>
      <c r="D18" s="107" t="s">
        <v>149</v>
      </c>
      <c r="E18" s="186">
        <v>54000</v>
      </c>
      <c r="F18" s="186">
        <v>54000</v>
      </c>
      <c r="G18" s="190" t="s">
        <v>157</v>
      </c>
      <c r="H18" s="190" t="s">
        <v>158</v>
      </c>
      <c r="I18" s="108"/>
      <c r="J18" s="108"/>
      <c r="K18" s="108"/>
      <c r="L18" s="108"/>
      <c r="M18" s="108"/>
      <c r="N18" s="108"/>
      <c r="O18" s="108"/>
      <c r="P18" s="108"/>
    </row>
    <row r="19" spans="1:16" s="17" customFormat="1" ht="28.5" customHeight="1">
      <c r="A19" s="100">
        <v>2</v>
      </c>
      <c r="B19" s="101" t="s">
        <v>145</v>
      </c>
      <c r="C19" s="14"/>
      <c r="D19" s="14"/>
      <c r="E19" s="191"/>
      <c r="F19" s="186"/>
      <c r="G19" s="107"/>
      <c r="H19" s="192"/>
      <c r="I19" s="143">
        <f>SUM(I20:I22)</f>
        <v>49099.1</v>
      </c>
      <c r="J19" s="85">
        <f aca="true" t="shared" si="0" ref="J19:P19">SUM(J20:J22)</f>
        <v>49099.1</v>
      </c>
      <c r="K19" s="85">
        <f t="shared" si="0"/>
        <v>0</v>
      </c>
      <c r="L19" s="143">
        <f t="shared" si="0"/>
        <v>0</v>
      </c>
      <c r="M19" s="187">
        <f t="shared" si="0"/>
        <v>0</v>
      </c>
      <c r="N19" s="187">
        <f t="shared" si="0"/>
        <v>0</v>
      </c>
      <c r="O19" s="187">
        <f t="shared" si="0"/>
        <v>0</v>
      </c>
      <c r="P19" s="187">
        <f t="shared" si="0"/>
        <v>0</v>
      </c>
    </row>
    <row r="20" spans="1:16" s="94" customFormat="1" ht="15.75">
      <c r="A20" s="102">
        <v>3</v>
      </c>
      <c r="B20" s="10" t="s">
        <v>7</v>
      </c>
      <c r="C20" s="14"/>
      <c r="D20" s="14"/>
      <c r="E20" s="191"/>
      <c r="F20" s="186"/>
      <c r="G20" s="107"/>
      <c r="H20" s="192"/>
      <c r="I20" s="151">
        <f>SUM(J20:P20)</f>
        <v>1737.8</v>
      </c>
      <c r="J20" s="119">
        <v>1737.8</v>
      </c>
      <c r="K20" s="92"/>
      <c r="L20" s="151"/>
      <c r="M20" s="189"/>
      <c r="N20" s="189"/>
      <c r="O20" s="189"/>
      <c r="P20" s="189"/>
    </row>
    <row r="21" spans="1:16" s="94" customFormat="1" ht="15.75">
      <c r="A21" s="102">
        <v>4</v>
      </c>
      <c r="B21" s="10" t="s">
        <v>161</v>
      </c>
      <c r="C21" s="14"/>
      <c r="D21" s="14"/>
      <c r="E21" s="191"/>
      <c r="F21" s="186"/>
      <c r="G21" s="107"/>
      <c r="H21" s="192"/>
      <c r="I21" s="151">
        <f>SUM(J21:P21)</f>
        <v>12802.1</v>
      </c>
      <c r="J21" s="119">
        <v>12802.1</v>
      </c>
      <c r="K21" s="92"/>
      <c r="L21" s="151"/>
      <c r="M21" s="189"/>
      <c r="N21" s="189"/>
      <c r="O21" s="189"/>
      <c r="P21" s="189"/>
    </row>
    <row r="22" spans="1:16" s="94" customFormat="1" ht="15.75">
      <c r="A22" s="102">
        <v>5</v>
      </c>
      <c r="B22" s="10" t="s">
        <v>9</v>
      </c>
      <c r="C22" s="14"/>
      <c r="D22" s="14"/>
      <c r="E22" s="191"/>
      <c r="F22" s="186"/>
      <c r="G22" s="107"/>
      <c r="H22" s="192"/>
      <c r="I22" s="151">
        <f>SUM(J22:P22)</f>
        <v>34559.2</v>
      </c>
      <c r="J22" s="119">
        <v>34559.2</v>
      </c>
      <c r="K22" s="92"/>
      <c r="L22" s="151"/>
      <c r="M22" s="189"/>
      <c r="N22" s="189"/>
      <c r="O22" s="189"/>
      <c r="P22" s="189"/>
    </row>
    <row r="23" spans="1:16" s="94" customFormat="1" ht="15.75">
      <c r="A23" s="102"/>
      <c r="B23" s="10"/>
      <c r="C23" s="14"/>
      <c r="D23" s="14"/>
      <c r="E23" s="191"/>
      <c r="F23" s="186"/>
      <c r="G23" s="107"/>
      <c r="H23" s="192"/>
      <c r="I23" s="151"/>
      <c r="J23" s="119"/>
      <c r="K23" s="92"/>
      <c r="L23" s="151"/>
      <c r="M23" s="189"/>
      <c r="N23" s="189"/>
      <c r="O23" s="189"/>
      <c r="P23" s="189"/>
    </row>
    <row r="24" spans="1:16" s="15" customFormat="1" ht="25.5">
      <c r="A24" s="105">
        <v>6</v>
      </c>
      <c r="B24" s="106" t="s">
        <v>222</v>
      </c>
      <c r="C24" s="107" t="s">
        <v>223</v>
      </c>
      <c r="D24" s="107" t="s">
        <v>149</v>
      </c>
      <c r="E24" s="186"/>
      <c r="F24" s="186"/>
      <c r="G24" s="190" t="s">
        <v>224</v>
      </c>
      <c r="H24" s="190" t="s">
        <v>225</v>
      </c>
      <c r="I24" s="151"/>
      <c r="J24" s="92"/>
      <c r="K24" s="92"/>
      <c r="L24" s="151"/>
      <c r="M24" s="188"/>
      <c r="N24" s="188"/>
      <c r="O24" s="188"/>
      <c r="P24" s="188"/>
    </row>
    <row r="25" spans="1:16" s="17" customFormat="1" ht="28.5" customHeight="1">
      <c r="A25" s="100">
        <v>7</v>
      </c>
      <c r="B25" s="101" t="s">
        <v>162</v>
      </c>
      <c r="C25" s="14"/>
      <c r="D25" s="14"/>
      <c r="E25" s="191"/>
      <c r="F25" s="186"/>
      <c r="G25" s="186"/>
      <c r="H25" s="193"/>
      <c r="I25" s="143">
        <f aca="true" t="shared" si="1" ref="I25:P25">SUM(I26:I26)</f>
        <v>8000</v>
      </c>
      <c r="J25" s="85">
        <f t="shared" si="1"/>
        <v>0</v>
      </c>
      <c r="K25" s="85">
        <f t="shared" si="1"/>
        <v>0</v>
      </c>
      <c r="L25" s="143">
        <f t="shared" si="1"/>
        <v>0</v>
      </c>
      <c r="M25" s="143">
        <f t="shared" si="1"/>
        <v>8000</v>
      </c>
      <c r="N25" s="187">
        <f t="shared" si="1"/>
        <v>0</v>
      </c>
      <c r="O25" s="187">
        <f t="shared" si="1"/>
        <v>0</v>
      </c>
      <c r="P25" s="187">
        <f t="shared" si="1"/>
        <v>0</v>
      </c>
    </row>
    <row r="26" spans="1:16" s="94" customFormat="1" ht="15.75">
      <c r="A26" s="102">
        <v>8</v>
      </c>
      <c r="B26" s="10" t="s">
        <v>7</v>
      </c>
      <c r="C26" s="14"/>
      <c r="D26" s="14"/>
      <c r="E26" s="191"/>
      <c r="F26" s="186"/>
      <c r="G26" s="186"/>
      <c r="H26" s="193"/>
      <c r="I26" s="151">
        <f>SUM(J26:P26)</f>
        <v>8000</v>
      </c>
      <c r="J26" s="119"/>
      <c r="K26" s="92"/>
      <c r="L26" s="151"/>
      <c r="M26" s="161">
        <v>8000</v>
      </c>
      <c r="N26" s="185"/>
      <c r="O26" s="185"/>
      <c r="P26" s="185"/>
    </row>
    <row r="30" ht="12.75">
      <c r="B30" s="99" t="s">
        <v>147</v>
      </c>
    </row>
  </sheetData>
  <sheetProtection/>
  <mergeCells count="19">
    <mergeCell ref="A10:P10"/>
    <mergeCell ref="A11:P11"/>
    <mergeCell ref="D14:D16"/>
    <mergeCell ref="J1:P1"/>
    <mergeCell ref="J2:P2"/>
    <mergeCell ref="J3:P3"/>
    <mergeCell ref="J4:P4"/>
    <mergeCell ref="J5:P5"/>
    <mergeCell ref="J6:P6"/>
    <mergeCell ref="A12:P12"/>
    <mergeCell ref="A14:A16"/>
    <mergeCell ref="B14:B16"/>
    <mergeCell ref="C14:C16"/>
    <mergeCell ref="G14:H15"/>
    <mergeCell ref="I14:P14"/>
    <mergeCell ref="I15:I16"/>
    <mergeCell ref="E14:F14"/>
    <mergeCell ref="E15:E16"/>
    <mergeCell ref="F15:F16"/>
  </mergeCells>
  <printOptions/>
  <pageMargins left="0.5905511811023623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4"/>
  <sheetViews>
    <sheetView tabSelected="1" view="pageBreakPreview" zoomScaleNormal="93" zoomScaleSheetLayoutView="100" zoomScalePageLayoutView="0" workbookViewId="0" topLeftCell="A1">
      <pane xSplit="3" ySplit="10" topLeftCell="D43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0" sqref="B10"/>
    </sheetView>
  </sheetViews>
  <sheetFormatPr defaultColWidth="9.00390625" defaultRowHeight="12.75"/>
  <cols>
    <col min="1" max="1" width="7.00390625" style="122" customWidth="1"/>
    <col min="2" max="2" width="56.00390625" style="78" customWidth="1"/>
    <col min="3" max="3" width="43.75390625" style="327" customWidth="1"/>
    <col min="4" max="4" width="15.25390625" style="328" customWidth="1"/>
    <col min="5" max="5" width="15.00390625" style="329" customWidth="1"/>
    <col min="6" max="6" width="14.75390625" style="0" customWidth="1"/>
    <col min="7" max="7" width="15.00390625" style="328" customWidth="1"/>
    <col min="8" max="8" width="14.875" style="329" customWidth="1"/>
    <col min="9" max="9" width="14.75390625" style="0" customWidth="1"/>
    <col min="10" max="10" width="14.00390625" style="328" customWidth="1"/>
    <col min="11" max="11" width="14.25390625" style="329" customWidth="1"/>
    <col min="12" max="12" width="14.625" style="0" customWidth="1"/>
    <col min="13" max="13" width="15.125" style="328" customWidth="1"/>
    <col min="14" max="14" width="15.125" style="329" customWidth="1"/>
    <col min="15" max="15" width="16.25390625" style="0" customWidth="1"/>
    <col min="16" max="16" width="15.375" style="328" customWidth="1"/>
    <col min="17" max="17" width="16.125" style="329" customWidth="1"/>
    <col min="18" max="18" width="16.125" style="0" customWidth="1"/>
    <col min="19" max="19" width="15.125" style="328" customWidth="1"/>
    <col min="20" max="20" width="15.125" style="329" customWidth="1"/>
    <col min="21" max="21" width="15.75390625" style="0" customWidth="1"/>
    <col min="22" max="22" width="15.375" style="328" customWidth="1"/>
    <col min="23" max="23" width="14.75390625" style="329" customWidth="1"/>
    <col min="24" max="24" width="15.00390625" style="0" customWidth="1"/>
  </cols>
  <sheetData>
    <row r="1" spans="1:24" s="1" customFormat="1" ht="15">
      <c r="A1" s="122"/>
      <c r="B1" s="59" t="s">
        <v>533</v>
      </c>
      <c r="C1" s="204"/>
      <c r="D1" s="205"/>
      <c r="E1" s="206"/>
      <c r="F1" s="60"/>
      <c r="G1" s="207"/>
      <c r="H1" s="208"/>
      <c r="I1" s="430"/>
      <c r="J1" s="430"/>
      <c r="K1" s="430"/>
      <c r="L1" s="430"/>
      <c r="M1" s="207"/>
      <c r="N1" s="208"/>
      <c r="O1" s="209"/>
      <c r="P1" s="210"/>
      <c r="Q1" s="211"/>
      <c r="R1" s="209"/>
      <c r="S1" s="207"/>
      <c r="T1" s="208"/>
      <c r="U1" s="209"/>
      <c r="V1" s="210"/>
      <c r="W1" s="211"/>
      <c r="X1" s="209"/>
    </row>
    <row r="2" spans="1:23" s="1" customFormat="1" ht="15.75">
      <c r="A2" s="212"/>
      <c r="B2" s="212"/>
      <c r="C2" s="212"/>
      <c r="D2" s="212"/>
      <c r="E2" s="212"/>
      <c r="F2" s="212"/>
      <c r="G2" s="213"/>
      <c r="H2" s="206"/>
      <c r="I2" s="212"/>
      <c r="J2" s="212"/>
      <c r="K2" s="212"/>
      <c r="L2" s="212"/>
      <c r="M2" s="213"/>
      <c r="N2" s="206"/>
      <c r="P2" s="213"/>
      <c r="Q2" s="206"/>
      <c r="S2" s="213"/>
      <c r="T2" s="206"/>
      <c r="V2" s="213"/>
      <c r="W2" s="206"/>
    </row>
    <row r="3" spans="1:23" s="80" customFormat="1" ht="15.75">
      <c r="A3" s="212"/>
      <c r="B3" s="212"/>
      <c r="C3" s="212"/>
      <c r="D3" s="379" t="s">
        <v>534</v>
      </c>
      <c r="E3" s="379"/>
      <c r="F3" s="379"/>
      <c r="G3" s="379"/>
      <c r="H3" s="379"/>
      <c r="I3" s="379"/>
      <c r="J3" s="379"/>
      <c r="K3" s="379"/>
      <c r="L3" s="379"/>
      <c r="M3" s="214"/>
      <c r="N3" s="215"/>
      <c r="P3" s="214"/>
      <c r="Q3" s="215"/>
      <c r="S3" s="214"/>
      <c r="T3" s="215"/>
      <c r="V3" s="214"/>
      <c r="W3" s="215"/>
    </row>
    <row r="4" spans="1:24" s="80" customFormat="1" ht="15.75">
      <c r="A4" s="212"/>
      <c r="B4" s="212"/>
      <c r="C4" s="212"/>
      <c r="D4" s="379" t="s">
        <v>535</v>
      </c>
      <c r="E4" s="379"/>
      <c r="F4" s="379"/>
      <c r="G4" s="379"/>
      <c r="H4" s="379"/>
      <c r="I4" s="379"/>
      <c r="J4" s="379"/>
      <c r="K4" s="379"/>
      <c r="L4" s="379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</row>
    <row r="5" spans="1:23" s="80" customFormat="1" ht="15.75">
      <c r="A5" s="212"/>
      <c r="B5" s="212"/>
      <c r="C5" s="212"/>
      <c r="D5" s="379" t="s">
        <v>536</v>
      </c>
      <c r="E5" s="379"/>
      <c r="F5" s="379"/>
      <c r="G5" s="379"/>
      <c r="H5" s="379"/>
      <c r="I5" s="379"/>
      <c r="J5" s="379"/>
      <c r="K5" s="379"/>
      <c r="L5" s="379"/>
      <c r="M5" s="214"/>
      <c r="N5" s="215"/>
      <c r="P5" s="214"/>
      <c r="Q5" s="215"/>
      <c r="S5" s="214"/>
      <c r="T5" s="215"/>
      <c r="V5" s="214"/>
      <c r="W5" s="215"/>
    </row>
    <row r="6" spans="1:23" s="1" customFormat="1" ht="15">
      <c r="A6" s="216"/>
      <c r="B6" s="216"/>
      <c r="C6" s="216"/>
      <c r="D6" s="217"/>
      <c r="E6" s="218"/>
      <c r="F6" s="216"/>
      <c r="G6" s="213"/>
      <c r="H6" s="206"/>
      <c r="I6" s="216"/>
      <c r="J6" s="219"/>
      <c r="K6" s="218"/>
      <c r="L6" s="216"/>
      <c r="M6" s="213"/>
      <c r="N6" s="206"/>
      <c r="P6" s="213"/>
      <c r="Q6" s="206"/>
      <c r="S6" s="213"/>
      <c r="T6" s="206"/>
      <c r="V6" s="213"/>
      <c r="W6" s="206"/>
    </row>
    <row r="7" spans="1:24" s="94" customFormat="1" ht="12.75">
      <c r="A7" s="431" t="s">
        <v>537</v>
      </c>
      <c r="B7" s="416" t="s">
        <v>538</v>
      </c>
      <c r="C7" s="416" t="s">
        <v>730</v>
      </c>
      <c r="D7" s="416" t="s">
        <v>539</v>
      </c>
      <c r="E7" s="416"/>
      <c r="F7" s="432"/>
      <c r="G7" s="424" t="s">
        <v>540</v>
      </c>
      <c r="H7" s="424"/>
      <c r="I7" s="424"/>
      <c r="J7" s="424"/>
      <c r="K7" s="424"/>
      <c r="L7" s="425"/>
      <c r="M7" s="424" t="s">
        <v>541</v>
      </c>
      <c r="N7" s="424"/>
      <c r="O7" s="424"/>
      <c r="P7" s="424"/>
      <c r="Q7" s="424"/>
      <c r="R7" s="425"/>
      <c r="S7" s="424" t="s">
        <v>688</v>
      </c>
      <c r="T7" s="424"/>
      <c r="U7" s="424"/>
      <c r="V7" s="424"/>
      <c r="W7" s="424"/>
      <c r="X7" s="426"/>
    </row>
    <row r="8" spans="1:24" s="3" customFormat="1" ht="27.75" customHeight="1">
      <c r="A8" s="431"/>
      <c r="B8" s="416"/>
      <c r="C8" s="416"/>
      <c r="D8" s="416"/>
      <c r="E8" s="416"/>
      <c r="F8" s="432"/>
      <c r="G8" s="427"/>
      <c r="H8" s="428"/>
      <c r="I8" s="428"/>
      <c r="J8" s="428" t="s">
        <v>542</v>
      </c>
      <c r="K8" s="428"/>
      <c r="L8" s="429"/>
      <c r="M8" s="427"/>
      <c r="N8" s="428"/>
      <c r="O8" s="428"/>
      <c r="P8" s="428" t="s">
        <v>542</v>
      </c>
      <c r="Q8" s="428"/>
      <c r="R8" s="429"/>
      <c r="S8" s="427"/>
      <c r="T8" s="428"/>
      <c r="U8" s="428"/>
      <c r="V8" s="428" t="s">
        <v>542</v>
      </c>
      <c r="W8" s="428"/>
      <c r="X8" s="428"/>
    </row>
    <row r="9" spans="1:24" s="3" customFormat="1" ht="90.75" customHeight="1">
      <c r="A9" s="431"/>
      <c r="B9" s="416"/>
      <c r="C9" s="416"/>
      <c r="D9" s="220" t="s">
        <v>543</v>
      </c>
      <c r="E9" s="221" t="s">
        <v>544</v>
      </c>
      <c r="F9" s="335" t="s">
        <v>545</v>
      </c>
      <c r="G9" s="220" t="s">
        <v>543</v>
      </c>
      <c r="H9" s="223" t="s">
        <v>544</v>
      </c>
      <c r="I9" s="222" t="s">
        <v>545</v>
      </c>
      <c r="J9" s="220" t="s">
        <v>543</v>
      </c>
      <c r="K9" s="223" t="s">
        <v>546</v>
      </c>
      <c r="L9" s="335" t="s">
        <v>547</v>
      </c>
      <c r="M9" s="220" t="s">
        <v>543</v>
      </c>
      <c r="N9" s="223" t="s">
        <v>544</v>
      </c>
      <c r="O9" s="222" t="s">
        <v>545</v>
      </c>
      <c r="P9" s="220" t="s">
        <v>543</v>
      </c>
      <c r="Q9" s="223" t="s">
        <v>546</v>
      </c>
      <c r="R9" s="335" t="s">
        <v>547</v>
      </c>
      <c r="S9" s="220" t="s">
        <v>543</v>
      </c>
      <c r="T9" s="223" t="s">
        <v>544</v>
      </c>
      <c r="U9" s="222" t="s">
        <v>545</v>
      </c>
      <c r="V9" s="220" t="s">
        <v>543</v>
      </c>
      <c r="W9" s="223" t="s">
        <v>546</v>
      </c>
      <c r="X9" s="222" t="s">
        <v>547</v>
      </c>
    </row>
    <row r="10" spans="1:24" s="231" customFormat="1" ht="15.75" customHeight="1">
      <c r="A10" s="224" t="s">
        <v>548</v>
      </c>
      <c r="B10" s="224">
        <v>2</v>
      </c>
      <c r="C10" s="224">
        <v>3</v>
      </c>
      <c r="D10" s="225">
        <v>4</v>
      </c>
      <c r="E10" s="226">
        <v>5</v>
      </c>
      <c r="F10" s="353">
        <v>6</v>
      </c>
      <c r="G10" s="331">
        <v>7</v>
      </c>
      <c r="H10" s="227">
        <v>8</v>
      </c>
      <c r="I10" s="228">
        <v>9</v>
      </c>
      <c r="J10" s="229">
        <v>10</v>
      </c>
      <c r="K10" s="230">
        <v>11</v>
      </c>
      <c r="L10" s="336">
        <v>12</v>
      </c>
      <c r="M10" s="331">
        <v>13</v>
      </c>
      <c r="N10" s="227">
        <v>14</v>
      </c>
      <c r="O10" s="228">
        <v>15</v>
      </c>
      <c r="P10" s="229">
        <v>16</v>
      </c>
      <c r="Q10" s="230">
        <v>17</v>
      </c>
      <c r="R10" s="336">
        <v>18</v>
      </c>
      <c r="S10" s="331">
        <v>19</v>
      </c>
      <c r="T10" s="227">
        <v>20</v>
      </c>
      <c r="U10" s="228">
        <v>21</v>
      </c>
      <c r="V10" s="229">
        <v>22</v>
      </c>
      <c r="W10" s="230">
        <v>23</v>
      </c>
      <c r="X10" s="228">
        <v>24</v>
      </c>
    </row>
    <row r="11" spans="1:24" s="15" customFormat="1" ht="30" customHeight="1">
      <c r="A11" s="123">
        <v>1</v>
      </c>
      <c r="B11" s="28" t="s">
        <v>41</v>
      </c>
      <c r="C11" s="232"/>
      <c r="D11" s="233">
        <f aca="true" t="shared" si="0" ref="D11:I11">SUM(D12:D15)</f>
        <v>4935745.77919</v>
      </c>
      <c r="E11" s="234">
        <f t="shared" si="0"/>
        <v>4957709.879190001</v>
      </c>
      <c r="F11" s="354">
        <f t="shared" si="0"/>
        <v>20546.062999999995</v>
      </c>
      <c r="G11" s="332">
        <f>SUM(G12:G15)</f>
        <v>698008.4</v>
      </c>
      <c r="H11" s="234">
        <f>SUM(H12:H15)</f>
        <v>716245.5</v>
      </c>
      <c r="I11" s="139">
        <f t="shared" si="0"/>
        <v>14669.062999999991</v>
      </c>
      <c r="J11" s="235"/>
      <c r="K11" s="236"/>
      <c r="L11" s="337"/>
      <c r="M11" s="332">
        <f>SUM(M12:M15)</f>
        <v>699840.2</v>
      </c>
      <c r="N11" s="234">
        <f>SUM(N12:N15)</f>
        <v>686587.8</v>
      </c>
      <c r="O11" s="139">
        <f>SUM(O12:O15)</f>
        <v>-13252.399999999998</v>
      </c>
      <c r="P11" s="235"/>
      <c r="Q11" s="236"/>
      <c r="R11" s="337"/>
      <c r="S11" s="332">
        <f>SUM(S12:S15)</f>
        <v>708936.9</v>
      </c>
      <c r="T11" s="234">
        <f>SUM(T12:T15)</f>
        <v>703916.3</v>
      </c>
      <c r="U11" s="139">
        <f>SUM(U12:U15)</f>
        <v>-5020.5999999999985</v>
      </c>
      <c r="V11" s="235"/>
      <c r="W11" s="236"/>
      <c r="X11" s="84"/>
    </row>
    <row r="12" spans="1:24" s="17" customFormat="1" ht="15" customHeight="1">
      <c r="A12" s="77">
        <v>2</v>
      </c>
      <c r="B12" s="5" t="s">
        <v>7</v>
      </c>
      <c r="C12" s="237"/>
      <c r="D12" s="238">
        <f>SUM(D18+D24)</f>
        <v>1892164.3721899998</v>
      </c>
      <c r="E12" s="239">
        <f aca="true" t="shared" si="1" ref="E12:I15">SUM(E18+E24)</f>
        <v>1974414.47219</v>
      </c>
      <c r="F12" s="355">
        <f t="shared" si="1"/>
        <v>80832.063</v>
      </c>
      <c r="G12" s="272">
        <f aca="true" t="shared" si="2" ref="G12:H15">SUM(G18+G24)</f>
        <v>248181.20000000004</v>
      </c>
      <c r="H12" s="239">
        <f t="shared" si="2"/>
        <v>296407</v>
      </c>
      <c r="I12" s="140">
        <f t="shared" si="1"/>
        <v>44657.76299999999</v>
      </c>
      <c r="J12" s="240"/>
      <c r="K12" s="241"/>
      <c r="L12" s="338"/>
      <c r="M12" s="272">
        <f aca="true" t="shared" si="3" ref="M12:O15">SUM(M18+M24)</f>
        <v>250013</v>
      </c>
      <c r="N12" s="239">
        <f t="shared" si="3"/>
        <v>262120.90000000002</v>
      </c>
      <c r="O12" s="140">
        <f t="shared" si="3"/>
        <v>12107.900000000005</v>
      </c>
      <c r="P12" s="240"/>
      <c r="Q12" s="241"/>
      <c r="R12" s="338"/>
      <c r="S12" s="272">
        <f>SUM(S18+S24)</f>
        <v>267157.7</v>
      </c>
      <c r="T12" s="239">
        <f>SUM(T18+T24)</f>
        <v>267074.1</v>
      </c>
      <c r="U12" s="140">
        <f>SUM(U18+U24)</f>
        <v>-83.59999999999854</v>
      </c>
      <c r="V12" s="240"/>
      <c r="W12" s="241"/>
      <c r="X12" s="83"/>
    </row>
    <row r="13" spans="1:24" s="17" customFormat="1" ht="15" customHeight="1">
      <c r="A13" s="77">
        <v>3</v>
      </c>
      <c r="B13" s="5" t="s">
        <v>8</v>
      </c>
      <c r="C13" s="237"/>
      <c r="D13" s="238">
        <f>SUM(D19+D25)</f>
        <v>20310.906</v>
      </c>
      <c r="E13" s="239">
        <f t="shared" si="1"/>
        <v>20310.906</v>
      </c>
      <c r="F13" s="355">
        <f t="shared" si="1"/>
        <v>0</v>
      </c>
      <c r="G13" s="272">
        <f t="shared" si="2"/>
        <v>0</v>
      </c>
      <c r="H13" s="239">
        <f t="shared" si="2"/>
        <v>0</v>
      </c>
      <c r="I13" s="140">
        <f t="shared" si="1"/>
        <v>0</v>
      </c>
      <c r="J13" s="240"/>
      <c r="K13" s="241"/>
      <c r="L13" s="338"/>
      <c r="M13" s="272">
        <f t="shared" si="3"/>
        <v>0</v>
      </c>
      <c r="N13" s="239">
        <f t="shared" si="3"/>
        <v>0</v>
      </c>
      <c r="O13" s="140">
        <f t="shared" si="3"/>
        <v>0</v>
      </c>
      <c r="P13" s="240"/>
      <c r="Q13" s="241"/>
      <c r="R13" s="338"/>
      <c r="S13" s="272">
        <f>SUM(S19+S25)</f>
        <v>0</v>
      </c>
      <c r="T13" s="239">
        <f aca="true" t="shared" si="4" ref="T13:U15">SUM(T19+T25)</f>
        <v>0</v>
      </c>
      <c r="U13" s="140">
        <f>SUM(U19+U25)</f>
        <v>0</v>
      </c>
      <c r="V13" s="240"/>
      <c r="W13" s="241"/>
      <c r="X13" s="83"/>
    </row>
    <row r="14" spans="1:24" s="17" customFormat="1" ht="15" customHeight="1">
      <c r="A14" s="77">
        <v>4</v>
      </c>
      <c r="B14" s="5" t="s">
        <v>9</v>
      </c>
      <c r="C14" s="237"/>
      <c r="D14" s="238">
        <f>SUM(D20+D26)</f>
        <v>2731573.1010000003</v>
      </c>
      <c r="E14" s="239">
        <f t="shared" si="1"/>
        <v>2671287.1010000003</v>
      </c>
      <c r="F14" s="355">
        <f t="shared" si="1"/>
        <v>-60286</v>
      </c>
      <c r="G14" s="272">
        <f t="shared" si="2"/>
        <v>405627.2</v>
      </c>
      <c r="H14" s="239">
        <f t="shared" si="2"/>
        <v>375638.5</v>
      </c>
      <c r="I14" s="140">
        <f t="shared" si="1"/>
        <v>-29988.7</v>
      </c>
      <c r="J14" s="240"/>
      <c r="K14" s="241"/>
      <c r="L14" s="338"/>
      <c r="M14" s="272">
        <f t="shared" si="3"/>
        <v>405627.2</v>
      </c>
      <c r="N14" s="239">
        <f t="shared" si="3"/>
        <v>380266.9</v>
      </c>
      <c r="O14" s="140">
        <f t="shared" si="3"/>
        <v>-25360.300000000003</v>
      </c>
      <c r="P14" s="240"/>
      <c r="Q14" s="241"/>
      <c r="R14" s="338"/>
      <c r="S14" s="272">
        <f>SUM(S20+S26)</f>
        <v>397579.2</v>
      </c>
      <c r="T14" s="239">
        <f t="shared" si="4"/>
        <v>392642.2</v>
      </c>
      <c r="U14" s="140">
        <f t="shared" si="4"/>
        <v>-4937</v>
      </c>
      <c r="V14" s="240"/>
      <c r="W14" s="241"/>
      <c r="X14" s="83"/>
    </row>
    <row r="15" spans="1:24" s="17" customFormat="1" ht="15" customHeight="1">
      <c r="A15" s="77">
        <v>5</v>
      </c>
      <c r="B15" s="5" t="s">
        <v>10</v>
      </c>
      <c r="C15" s="237"/>
      <c r="D15" s="238">
        <f>SUM(D21+D27)</f>
        <v>291697.4</v>
      </c>
      <c r="E15" s="239">
        <f t="shared" si="1"/>
        <v>291697.4</v>
      </c>
      <c r="F15" s="355">
        <f t="shared" si="1"/>
        <v>0</v>
      </c>
      <c r="G15" s="272">
        <f t="shared" si="2"/>
        <v>44200</v>
      </c>
      <c r="H15" s="239">
        <f t="shared" si="2"/>
        <v>44200</v>
      </c>
      <c r="I15" s="140">
        <f t="shared" si="1"/>
        <v>0</v>
      </c>
      <c r="J15" s="240"/>
      <c r="K15" s="241"/>
      <c r="L15" s="338"/>
      <c r="M15" s="272">
        <f t="shared" si="3"/>
        <v>44200</v>
      </c>
      <c r="N15" s="239">
        <f t="shared" si="3"/>
        <v>44200</v>
      </c>
      <c r="O15" s="140">
        <f t="shared" si="3"/>
        <v>0</v>
      </c>
      <c r="P15" s="240"/>
      <c r="Q15" s="241"/>
      <c r="R15" s="338"/>
      <c r="S15" s="272">
        <f>SUM(S21+S27)</f>
        <v>44200</v>
      </c>
      <c r="T15" s="239">
        <f t="shared" si="4"/>
        <v>44200</v>
      </c>
      <c r="U15" s="140">
        <f t="shared" si="4"/>
        <v>0</v>
      </c>
      <c r="V15" s="240"/>
      <c r="W15" s="241"/>
      <c r="X15" s="83"/>
    </row>
    <row r="16" spans="1:24" s="17" customFormat="1" ht="15" customHeight="1">
      <c r="A16" s="77"/>
      <c r="B16" s="5"/>
      <c r="C16" s="237"/>
      <c r="D16" s="242"/>
      <c r="E16" s="243"/>
      <c r="F16" s="356"/>
      <c r="G16" s="333"/>
      <c r="H16" s="243"/>
      <c r="I16" s="196"/>
      <c r="J16" s="244"/>
      <c r="K16" s="245"/>
      <c r="L16" s="339"/>
      <c r="M16" s="333"/>
      <c r="N16" s="243"/>
      <c r="O16" s="196"/>
      <c r="P16" s="244"/>
      <c r="Q16" s="245"/>
      <c r="R16" s="339"/>
      <c r="S16" s="333"/>
      <c r="T16" s="243"/>
      <c r="U16" s="196"/>
      <c r="V16" s="244"/>
      <c r="W16" s="245"/>
      <c r="X16" s="110"/>
    </row>
    <row r="17" spans="1:24" s="18" customFormat="1" ht="30" customHeight="1">
      <c r="A17" s="124">
        <v>6</v>
      </c>
      <c r="B17" s="29" t="s">
        <v>25</v>
      </c>
      <c r="C17" s="246"/>
      <c r="D17" s="247">
        <f aca="true" t="shared" si="5" ref="D17:I17">SUM(D18:D21)</f>
        <v>154805.855</v>
      </c>
      <c r="E17" s="248">
        <f t="shared" si="5"/>
        <v>153305.855</v>
      </c>
      <c r="F17" s="357">
        <f t="shared" si="5"/>
        <v>-1500</v>
      </c>
      <c r="G17" s="334">
        <f>SUM(G18:G21)</f>
        <v>15000</v>
      </c>
      <c r="H17" s="248">
        <f>SUM(H18:H21)</f>
        <v>40500</v>
      </c>
      <c r="I17" s="154">
        <f t="shared" si="5"/>
        <v>25500</v>
      </c>
      <c r="J17" s="249"/>
      <c r="K17" s="250"/>
      <c r="L17" s="340"/>
      <c r="M17" s="334">
        <f>SUM(M18:M21)</f>
        <v>16100</v>
      </c>
      <c r="N17" s="248">
        <f>SUM(N18:N21)</f>
        <v>1100</v>
      </c>
      <c r="O17" s="154">
        <f>SUM(O18:O21)</f>
        <v>-15000</v>
      </c>
      <c r="P17" s="249"/>
      <c r="Q17" s="250"/>
      <c r="R17" s="340"/>
      <c r="S17" s="334">
        <f>SUM(S18:S21)</f>
        <v>34000</v>
      </c>
      <c r="T17" s="248">
        <f>SUM(T18:T21)</f>
        <v>0</v>
      </c>
      <c r="U17" s="154">
        <f>SUM(U18:U21)</f>
        <v>-34000</v>
      </c>
      <c r="V17" s="249"/>
      <c r="W17" s="250"/>
      <c r="X17" s="111"/>
    </row>
    <row r="18" spans="1:24" s="17" customFormat="1" ht="15" customHeight="1">
      <c r="A18" s="77">
        <v>7</v>
      </c>
      <c r="B18" s="5" t="s">
        <v>7</v>
      </c>
      <c r="C18" s="237"/>
      <c r="D18" s="251">
        <f aca="true" t="shared" si="6" ref="D18:I18">SUM(D37+D148+D305+D333+D366+D421)</f>
        <v>106694.55500000001</v>
      </c>
      <c r="E18" s="252">
        <f t="shared" si="6"/>
        <v>105194.55500000001</v>
      </c>
      <c r="F18" s="358">
        <f t="shared" si="6"/>
        <v>-1500</v>
      </c>
      <c r="G18" s="276">
        <f t="shared" si="6"/>
        <v>15000</v>
      </c>
      <c r="H18" s="252">
        <f t="shared" si="6"/>
        <v>40500</v>
      </c>
      <c r="I18" s="155">
        <f t="shared" si="6"/>
        <v>25500</v>
      </c>
      <c r="J18" s="253"/>
      <c r="K18" s="254"/>
      <c r="L18" s="341"/>
      <c r="M18" s="276">
        <f>SUM(M37+M148+M305+M333+M366+M421)</f>
        <v>16100</v>
      </c>
      <c r="N18" s="252">
        <f>SUM(N37+N148+N305+N333+N366+N421)</f>
        <v>1100</v>
      </c>
      <c r="O18" s="155">
        <f>SUM(O37+O148+O305+O333+O366+O421)</f>
        <v>-15000</v>
      </c>
      <c r="P18" s="253"/>
      <c r="Q18" s="254"/>
      <c r="R18" s="341"/>
      <c r="S18" s="276">
        <f>SUM(S37+S148+S305+S333+S366+S421)</f>
        <v>34000</v>
      </c>
      <c r="T18" s="252">
        <f>SUM(T37+T148+T305+T333+T366+T421)</f>
        <v>0</v>
      </c>
      <c r="U18" s="155">
        <f>SUM(U37+U148+U305+U333+U366+U421)</f>
        <v>-34000</v>
      </c>
      <c r="V18" s="253"/>
      <c r="W18" s="254"/>
      <c r="X18" s="87"/>
    </row>
    <row r="19" spans="1:24" s="17" customFormat="1" ht="15" customHeight="1">
      <c r="A19" s="77">
        <v>8</v>
      </c>
      <c r="B19" s="5" t="s">
        <v>8</v>
      </c>
      <c r="C19" s="237"/>
      <c r="D19" s="251">
        <f aca="true" t="shared" si="7" ref="D19:I19">SUM(D38+D367)</f>
        <v>12802.1</v>
      </c>
      <c r="E19" s="252">
        <f t="shared" si="7"/>
        <v>12802.1</v>
      </c>
      <c r="F19" s="358">
        <f t="shared" si="7"/>
        <v>0</v>
      </c>
      <c r="G19" s="276">
        <f t="shared" si="7"/>
        <v>0</v>
      </c>
      <c r="H19" s="252">
        <f t="shared" si="7"/>
        <v>0</v>
      </c>
      <c r="I19" s="155">
        <f t="shared" si="7"/>
        <v>0</v>
      </c>
      <c r="J19" s="253"/>
      <c r="K19" s="254"/>
      <c r="L19" s="341"/>
      <c r="M19" s="276">
        <f>SUM(M38+M367)</f>
        <v>0</v>
      </c>
      <c r="N19" s="252">
        <f>SUM(N38+N367)</f>
        <v>0</v>
      </c>
      <c r="O19" s="155">
        <f>SUM(O38+O367)</f>
        <v>0</v>
      </c>
      <c r="P19" s="253"/>
      <c r="Q19" s="254"/>
      <c r="R19" s="341"/>
      <c r="S19" s="276">
        <f>SUM(S38+S367)</f>
        <v>0</v>
      </c>
      <c r="T19" s="252">
        <f>SUM(T38+T367)</f>
        <v>0</v>
      </c>
      <c r="U19" s="155">
        <f>SUM(U38+U367)</f>
        <v>0</v>
      </c>
      <c r="V19" s="253"/>
      <c r="W19" s="254"/>
      <c r="X19" s="87"/>
    </row>
    <row r="20" spans="1:24" s="17" customFormat="1" ht="15" customHeight="1">
      <c r="A20" s="77">
        <v>9</v>
      </c>
      <c r="B20" s="5" t="s">
        <v>9</v>
      </c>
      <c r="C20" s="237"/>
      <c r="D20" s="251">
        <f aca="true" t="shared" si="8" ref="D20:I20">SUM(D39+D301+D368)</f>
        <v>35309.2</v>
      </c>
      <c r="E20" s="252">
        <f t="shared" si="8"/>
        <v>35309.2</v>
      </c>
      <c r="F20" s="358">
        <f t="shared" si="8"/>
        <v>0</v>
      </c>
      <c r="G20" s="276">
        <f t="shared" si="8"/>
        <v>0</v>
      </c>
      <c r="H20" s="252">
        <f t="shared" si="8"/>
        <v>0</v>
      </c>
      <c r="I20" s="155">
        <f t="shared" si="8"/>
        <v>0</v>
      </c>
      <c r="J20" s="253"/>
      <c r="K20" s="254"/>
      <c r="L20" s="341"/>
      <c r="M20" s="276">
        <f>SUM(M39+M301+M368)</f>
        <v>0</v>
      </c>
      <c r="N20" s="252">
        <f>SUM(N39+N301+N368)</f>
        <v>0</v>
      </c>
      <c r="O20" s="155">
        <f>SUM(O39+O301+O368)</f>
        <v>0</v>
      </c>
      <c r="P20" s="253"/>
      <c r="Q20" s="254"/>
      <c r="R20" s="341"/>
      <c r="S20" s="276">
        <f>SUM(S39+S301+S368)</f>
        <v>0</v>
      </c>
      <c r="T20" s="252">
        <f>SUM(T39+T301+T368)</f>
        <v>0</v>
      </c>
      <c r="U20" s="155">
        <f>SUM(U39+U301+U368)</f>
        <v>0</v>
      </c>
      <c r="V20" s="253"/>
      <c r="W20" s="254"/>
      <c r="X20" s="87"/>
    </row>
    <row r="21" spans="1:24" s="17" customFormat="1" ht="15" customHeight="1">
      <c r="A21" s="77">
        <v>10</v>
      </c>
      <c r="B21" s="5" t="s">
        <v>10</v>
      </c>
      <c r="C21" s="237"/>
      <c r="D21" s="251">
        <f aca="true" t="shared" si="9" ref="D21:I21">SUM(D40)</f>
        <v>0</v>
      </c>
      <c r="E21" s="252">
        <f t="shared" si="9"/>
        <v>0</v>
      </c>
      <c r="F21" s="358">
        <f t="shared" si="9"/>
        <v>0</v>
      </c>
      <c r="G21" s="276">
        <f>SUM(G40)</f>
        <v>0</v>
      </c>
      <c r="H21" s="252">
        <f>SUM(H40)</f>
        <v>0</v>
      </c>
      <c r="I21" s="155">
        <f t="shared" si="9"/>
        <v>0</v>
      </c>
      <c r="J21" s="253"/>
      <c r="K21" s="254"/>
      <c r="L21" s="341"/>
      <c r="M21" s="276">
        <f>SUM(M40)</f>
        <v>0</v>
      </c>
      <c r="N21" s="252">
        <f>SUM(N40)</f>
        <v>0</v>
      </c>
      <c r="O21" s="155">
        <f>SUM(O40)</f>
        <v>0</v>
      </c>
      <c r="P21" s="253"/>
      <c r="Q21" s="254"/>
      <c r="R21" s="341"/>
      <c r="S21" s="276">
        <f>SUM(S40)</f>
        <v>0</v>
      </c>
      <c r="T21" s="252">
        <f>SUM(T40)</f>
        <v>0</v>
      </c>
      <c r="U21" s="155">
        <f>SUM(U40)</f>
        <v>0</v>
      </c>
      <c r="V21" s="253"/>
      <c r="W21" s="254"/>
      <c r="X21" s="87"/>
    </row>
    <row r="22" spans="1:24" s="17" customFormat="1" ht="15" customHeight="1">
      <c r="A22" s="77"/>
      <c r="B22" s="5"/>
      <c r="C22" s="237"/>
      <c r="D22" s="242"/>
      <c r="E22" s="243"/>
      <c r="F22" s="356"/>
      <c r="G22" s="333"/>
      <c r="H22" s="243"/>
      <c r="I22" s="196"/>
      <c r="J22" s="244"/>
      <c r="K22" s="245"/>
      <c r="L22" s="339"/>
      <c r="M22" s="333"/>
      <c r="N22" s="243"/>
      <c r="O22" s="196"/>
      <c r="P22" s="244"/>
      <c r="Q22" s="245"/>
      <c r="R22" s="339"/>
      <c r="S22" s="333"/>
      <c r="T22" s="243"/>
      <c r="U22" s="196"/>
      <c r="V22" s="244"/>
      <c r="W22" s="245"/>
      <c r="X22" s="110"/>
    </row>
    <row r="23" spans="1:24" s="18" customFormat="1" ht="30" customHeight="1">
      <c r="A23" s="124">
        <v>11</v>
      </c>
      <c r="B23" s="29" t="s">
        <v>71</v>
      </c>
      <c r="C23" s="246"/>
      <c r="D23" s="247">
        <f aca="true" t="shared" si="10" ref="D23:I23">SUM(D24:D27)</f>
        <v>4780939.924190001</v>
      </c>
      <c r="E23" s="248">
        <f t="shared" si="10"/>
        <v>4804404.02419</v>
      </c>
      <c r="F23" s="357">
        <f t="shared" si="10"/>
        <v>22046.062999999995</v>
      </c>
      <c r="G23" s="334">
        <f>SUM(G24:G27)</f>
        <v>683008.4</v>
      </c>
      <c r="H23" s="248">
        <f>SUM(H24:H27)</f>
        <v>675745.5</v>
      </c>
      <c r="I23" s="154">
        <f t="shared" si="10"/>
        <v>-10830.937000000005</v>
      </c>
      <c r="J23" s="249"/>
      <c r="K23" s="250"/>
      <c r="L23" s="340"/>
      <c r="M23" s="334">
        <f>SUM(M24:M27)</f>
        <v>683740.2</v>
      </c>
      <c r="N23" s="248">
        <f>SUM(N24:N27)</f>
        <v>685487.8</v>
      </c>
      <c r="O23" s="154">
        <f>SUM(O24:O27)</f>
        <v>1747.6000000000022</v>
      </c>
      <c r="P23" s="249"/>
      <c r="Q23" s="250"/>
      <c r="R23" s="340"/>
      <c r="S23" s="334">
        <f>SUM(S24:S27)</f>
        <v>674936.9</v>
      </c>
      <c r="T23" s="248">
        <f>SUM(T24:T27)</f>
        <v>703916.3</v>
      </c>
      <c r="U23" s="154">
        <f>SUM(U24:U27)</f>
        <v>28979.4</v>
      </c>
      <c r="V23" s="249"/>
      <c r="W23" s="250"/>
      <c r="X23" s="111"/>
    </row>
    <row r="24" spans="1:24" s="17" customFormat="1" ht="15" customHeight="1">
      <c r="A24" s="77">
        <v>12</v>
      </c>
      <c r="B24" s="5" t="s">
        <v>7</v>
      </c>
      <c r="C24" s="237"/>
      <c r="D24" s="251">
        <f aca="true" t="shared" si="11" ref="D24:I24">SUM(D68+D180+D314+D339+D384+D427)</f>
        <v>1785469.8171899999</v>
      </c>
      <c r="E24" s="252">
        <f t="shared" si="11"/>
        <v>1869219.91719</v>
      </c>
      <c r="F24" s="358">
        <f t="shared" si="11"/>
        <v>82332.063</v>
      </c>
      <c r="G24" s="276">
        <f t="shared" si="11"/>
        <v>233181.20000000004</v>
      </c>
      <c r="H24" s="252">
        <f t="shared" si="11"/>
        <v>255907</v>
      </c>
      <c r="I24" s="155">
        <f t="shared" si="11"/>
        <v>19157.762999999995</v>
      </c>
      <c r="J24" s="253"/>
      <c r="K24" s="254"/>
      <c r="L24" s="341"/>
      <c r="M24" s="276">
        <f>SUM(M68+M180+M314+M339+M384+M427)</f>
        <v>233913</v>
      </c>
      <c r="N24" s="252">
        <f>SUM(N68+N180+N314+N339+N384+N427)</f>
        <v>261020.90000000002</v>
      </c>
      <c r="O24" s="155">
        <f>SUM(O68+O180+O314+O339+O384+O427)</f>
        <v>27107.900000000005</v>
      </c>
      <c r="P24" s="253"/>
      <c r="Q24" s="254"/>
      <c r="R24" s="341"/>
      <c r="S24" s="276">
        <f>SUM(S68+S180+S314+S339+S384+S427)</f>
        <v>233157.7</v>
      </c>
      <c r="T24" s="252">
        <f>SUM(T68+T180+T314+T339+T384+T427)</f>
        <v>267074.1</v>
      </c>
      <c r="U24" s="155">
        <f>SUM(U68+U180+U314+U339+U384+U427)</f>
        <v>33916.4</v>
      </c>
      <c r="V24" s="253"/>
      <c r="W24" s="254"/>
      <c r="X24" s="87"/>
    </row>
    <row r="25" spans="1:24" s="17" customFormat="1" ht="15" customHeight="1">
      <c r="A25" s="77">
        <v>13</v>
      </c>
      <c r="B25" s="5" t="s">
        <v>8</v>
      </c>
      <c r="C25" s="237"/>
      <c r="D25" s="251">
        <f aca="true" t="shared" si="12" ref="D25:I25">SUM(D69+D181+D340+D428)</f>
        <v>7508.806</v>
      </c>
      <c r="E25" s="252">
        <f t="shared" si="12"/>
        <v>7508.806</v>
      </c>
      <c r="F25" s="358">
        <f t="shared" si="12"/>
        <v>0</v>
      </c>
      <c r="G25" s="276">
        <f t="shared" si="12"/>
        <v>0</v>
      </c>
      <c r="H25" s="252">
        <f t="shared" si="12"/>
        <v>0</v>
      </c>
      <c r="I25" s="155">
        <f t="shared" si="12"/>
        <v>0</v>
      </c>
      <c r="J25" s="253"/>
      <c r="K25" s="254"/>
      <c r="L25" s="341"/>
      <c r="M25" s="276">
        <f>SUM(M69+M181+M340+M428)</f>
        <v>0</v>
      </c>
      <c r="N25" s="252">
        <f>SUM(N69+N181+N340+N428)</f>
        <v>0</v>
      </c>
      <c r="O25" s="155">
        <f>SUM(O69+O181+O340+O428)</f>
        <v>0</v>
      </c>
      <c r="P25" s="253"/>
      <c r="Q25" s="254"/>
      <c r="R25" s="341"/>
      <c r="S25" s="276">
        <f>SUM(S69+S181+S340+S428)</f>
        <v>0</v>
      </c>
      <c r="T25" s="252">
        <f>SUM(T69+T181+T340+T428)</f>
        <v>0</v>
      </c>
      <c r="U25" s="155">
        <f>SUM(U69+U181+U340+U428)</f>
        <v>0</v>
      </c>
      <c r="V25" s="253"/>
      <c r="W25" s="254"/>
      <c r="X25" s="87"/>
    </row>
    <row r="26" spans="1:24" s="17" customFormat="1" ht="15" customHeight="1">
      <c r="A26" s="77">
        <v>14</v>
      </c>
      <c r="B26" s="5" t="s">
        <v>9</v>
      </c>
      <c r="C26" s="237"/>
      <c r="D26" s="251">
        <f aca="true" t="shared" si="13" ref="D26:I26">SUM(D70+D182+D296+D341+D432)</f>
        <v>2696263.901</v>
      </c>
      <c r="E26" s="252">
        <f t="shared" si="13"/>
        <v>2635977.901</v>
      </c>
      <c r="F26" s="358">
        <f t="shared" si="13"/>
        <v>-60286</v>
      </c>
      <c r="G26" s="276">
        <f t="shared" si="13"/>
        <v>405627.2</v>
      </c>
      <c r="H26" s="252">
        <f t="shared" si="13"/>
        <v>375638.5</v>
      </c>
      <c r="I26" s="155">
        <f t="shared" si="13"/>
        <v>-29988.7</v>
      </c>
      <c r="J26" s="253"/>
      <c r="K26" s="254"/>
      <c r="L26" s="341"/>
      <c r="M26" s="276">
        <f>SUM(M70+M182+M296+M341+M432)</f>
        <v>405627.2</v>
      </c>
      <c r="N26" s="252">
        <f>SUM(N70+N182+N296+N341+N432)</f>
        <v>380266.9</v>
      </c>
      <c r="O26" s="155">
        <f>SUM(O70+O182+O296+O341+O432)</f>
        <v>-25360.300000000003</v>
      </c>
      <c r="P26" s="253"/>
      <c r="Q26" s="254"/>
      <c r="R26" s="341"/>
      <c r="S26" s="276">
        <f>SUM(S70+S182+S296+S341+S432)</f>
        <v>397579.2</v>
      </c>
      <c r="T26" s="252">
        <f>SUM(T70+T182+T296+T341+T432)</f>
        <v>392642.2</v>
      </c>
      <c r="U26" s="155">
        <f>SUM(U70+U182+U296+U341+U432)</f>
        <v>-4937</v>
      </c>
      <c r="V26" s="253"/>
      <c r="W26" s="254"/>
      <c r="X26" s="87"/>
    </row>
    <row r="27" spans="1:24" s="17" customFormat="1" ht="15" customHeight="1">
      <c r="A27" s="77">
        <v>15</v>
      </c>
      <c r="B27" s="5" t="s">
        <v>10</v>
      </c>
      <c r="C27" s="237"/>
      <c r="D27" s="251">
        <f aca="true" t="shared" si="14" ref="D27:I27">SUM(D71+D183)</f>
        <v>291697.4</v>
      </c>
      <c r="E27" s="252">
        <f t="shared" si="14"/>
        <v>291697.4</v>
      </c>
      <c r="F27" s="358">
        <f t="shared" si="14"/>
        <v>0</v>
      </c>
      <c r="G27" s="276">
        <f t="shared" si="14"/>
        <v>44200</v>
      </c>
      <c r="H27" s="252">
        <f t="shared" si="14"/>
        <v>44200</v>
      </c>
      <c r="I27" s="155">
        <f t="shared" si="14"/>
        <v>0</v>
      </c>
      <c r="J27" s="253"/>
      <c r="K27" s="254"/>
      <c r="L27" s="341"/>
      <c r="M27" s="276">
        <f>SUM(M71+M183)</f>
        <v>44200</v>
      </c>
      <c r="N27" s="252">
        <f>SUM(N71+N183)</f>
        <v>44200</v>
      </c>
      <c r="O27" s="155">
        <f>SUM(O71+O183)</f>
        <v>0</v>
      </c>
      <c r="P27" s="253"/>
      <c r="Q27" s="254"/>
      <c r="R27" s="341"/>
      <c r="S27" s="276">
        <f>SUM(S71+S183)</f>
        <v>44200</v>
      </c>
      <c r="T27" s="252">
        <f>SUM(T71+T183)</f>
        <v>44200</v>
      </c>
      <c r="U27" s="155">
        <f>SUM(U71+U183)</f>
        <v>0</v>
      </c>
      <c r="V27" s="253"/>
      <c r="W27" s="254"/>
      <c r="X27" s="87"/>
    </row>
    <row r="28" spans="1:24" s="17" customFormat="1" ht="15" customHeight="1">
      <c r="A28" s="77"/>
      <c r="B28" s="16"/>
      <c r="C28" s="112"/>
      <c r="D28" s="242"/>
      <c r="E28" s="243"/>
      <c r="F28" s="359"/>
      <c r="G28" s="333"/>
      <c r="H28" s="243"/>
      <c r="I28" s="197"/>
      <c r="J28" s="244"/>
      <c r="K28" s="245"/>
      <c r="L28" s="350"/>
      <c r="M28" s="333"/>
      <c r="N28" s="243"/>
      <c r="O28" s="197"/>
      <c r="P28" s="244"/>
      <c r="Q28" s="245"/>
      <c r="R28" s="350"/>
      <c r="S28" s="333"/>
      <c r="T28" s="243"/>
      <c r="U28" s="197"/>
      <c r="V28" s="244"/>
      <c r="W28" s="245"/>
      <c r="X28" s="112"/>
    </row>
    <row r="29" spans="1:24" s="6" customFormat="1" ht="15" customHeight="1">
      <c r="A29" s="377"/>
      <c r="B29" s="255"/>
      <c r="C29" s="255"/>
      <c r="D29" s="380" t="s">
        <v>0</v>
      </c>
      <c r="E29" s="381"/>
      <c r="F29" s="381"/>
      <c r="G29" s="381"/>
      <c r="H29" s="381"/>
      <c r="I29" s="381"/>
      <c r="J29" s="381"/>
      <c r="K29" s="381"/>
      <c r="L29" s="382"/>
      <c r="M29" s="380" t="s">
        <v>0</v>
      </c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</row>
    <row r="30" spans="1:24" s="24" customFormat="1" ht="33" customHeight="1">
      <c r="A30" s="76" t="s">
        <v>735</v>
      </c>
      <c r="B30" s="26" t="s">
        <v>14</v>
      </c>
      <c r="C30" s="256"/>
      <c r="D30" s="257">
        <f aca="true" t="shared" si="15" ref="D30:I30">SUM(D31:D34)</f>
        <v>2010406.591</v>
      </c>
      <c r="E30" s="258">
        <f t="shared" si="15"/>
        <v>2028950.591</v>
      </c>
      <c r="F30" s="360">
        <f t="shared" si="15"/>
        <v>18044</v>
      </c>
      <c r="G30" s="268">
        <f>SUM(G31:G34)</f>
        <v>285899</v>
      </c>
      <c r="H30" s="258">
        <f>SUM(H31:H34)</f>
        <v>287243</v>
      </c>
      <c r="I30" s="153">
        <f t="shared" si="15"/>
        <v>844</v>
      </c>
      <c r="J30" s="259"/>
      <c r="K30" s="260"/>
      <c r="L30" s="351"/>
      <c r="M30" s="268">
        <f>SUM(M31:M34)</f>
        <v>286899</v>
      </c>
      <c r="N30" s="258">
        <f>SUM(N31:N34)</f>
        <v>288796</v>
      </c>
      <c r="O30" s="153">
        <f>SUM(O31:O34)</f>
        <v>1897</v>
      </c>
      <c r="P30" s="259"/>
      <c r="Q30" s="260"/>
      <c r="R30" s="351"/>
      <c r="S30" s="268">
        <f>SUM(S31:S34)</f>
        <v>288899</v>
      </c>
      <c r="T30" s="258">
        <f>SUM(T31:T34)</f>
        <v>304202</v>
      </c>
      <c r="U30" s="153">
        <f>SUM(U31:U34)</f>
        <v>15303</v>
      </c>
      <c r="V30" s="259"/>
      <c r="W30" s="260"/>
      <c r="X30" s="86"/>
    </row>
    <row r="31" spans="1:24" s="7" customFormat="1" ht="15" customHeight="1">
      <c r="A31" s="76" t="s">
        <v>736</v>
      </c>
      <c r="B31" s="9" t="s">
        <v>7</v>
      </c>
      <c r="C31" s="256"/>
      <c r="D31" s="251">
        <f aca="true" t="shared" si="16" ref="D31:I31">SUM(D37+D68)</f>
        <v>691552.4909999999</v>
      </c>
      <c r="E31" s="252">
        <f t="shared" si="16"/>
        <v>720613.4909999999</v>
      </c>
      <c r="F31" s="355">
        <f t="shared" si="16"/>
        <v>28561</v>
      </c>
      <c r="G31" s="276">
        <f>SUM(G37+G68)</f>
        <v>87830</v>
      </c>
      <c r="H31" s="252">
        <f>SUM(H37+H68)</f>
        <v>96151</v>
      </c>
      <c r="I31" s="140">
        <f t="shared" si="16"/>
        <v>7821</v>
      </c>
      <c r="J31" s="253"/>
      <c r="K31" s="254"/>
      <c r="L31" s="338"/>
      <c r="M31" s="276">
        <f>SUM(M37+M68)</f>
        <v>88830</v>
      </c>
      <c r="N31" s="252">
        <f>SUM(N37+N68)</f>
        <v>95400</v>
      </c>
      <c r="O31" s="140">
        <f>SUM(O37+O68)</f>
        <v>6570</v>
      </c>
      <c r="P31" s="253"/>
      <c r="Q31" s="254"/>
      <c r="R31" s="338"/>
      <c r="S31" s="276">
        <f>SUM(S37+S68)</f>
        <v>90830</v>
      </c>
      <c r="T31" s="252">
        <f>SUM(T37+T68)</f>
        <v>105000</v>
      </c>
      <c r="U31" s="140">
        <f>SUM(U37+U68)</f>
        <v>14170</v>
      </c>
      <c r="V31" s="253"/>
      <c r="W31" s="254"/>
      <c r="X31" s="83"/>
    </row>
    <row r="32" spans="1:24" s="7" customFormat="1" ht="15" customHeight="1">
      <c r="A32" s="76" t="s">
        <v>737</v>
      </c>
      <c r="B32" s="9" t="s">
        <v>8</v>
      </c>
      <c r="C32" s="256"/>
      <c r="D32" s="238">
        <f aca="true" t="shared" si="17" ref="D32:I32">SUM(D38)</f>
        <v>12802.1</v>
      </c>
      <c r="E32" s="239">
        <f t="shared" si="17"/>
        <v>12802.1</v>
      </c>
      <c r="F32" s="358">
        <f t="shared" si="17"/>
        <v>0</v>
      </c>
      <c r="G32" s="272">
        <f>SUM(G38)</f>
        <v>0</v>
      </c>
      <c r="H32" s="239">
        <f>SUM(H38)</f>
        <v>0</v>
      </c>
      <c r="I32" s="155">
        <f t="shared" si="17"/>
        <v>0</v>
      </c>
      <c r="J32" s="253"/>
      <c r="K32" s="254"/>
      <c r="L32" s="341"/>
      <c r="M32" s="272">
        <f>SUM(M38)</f>
        <v>0</v>
      </c>
      <c r="N32" s="239">
        <f>SUM(N38)</f>
        <v>0</v>
      </c>
      <c r="O32" s="155">
        <f>SUM(O38)</f>
        <v>0</v>
      </c>
      <c r="P32" s="253"/>
      <c r="Q32" s="254"/>
      <c r="R32" s="341"/>
      <c r="S32" s="272">
        <f>SUM(S38)</f>
        <v>0</v>
      </c>
      <c r="T32" s="239">
        <f>SUM(T38)</f>
        <v>0</v>
      </c>
      <c r="U32" s="155">
        <f>SUM(U38)</f>
        <v>0</v>
      </c>
      <c r="V32" s="253"/>
      <c r="W32" s="254"/>
      <c r="X32" s="87"/>
    </row>
    <row r="33" spans="1:24" s="7" customFormat="1" ht="15" customHeight="1">
      <c r="A33" s="76" t="s">
        <v>738</v>
      </c>
      <c r="B33" s="9" t="s">
        <v>9</v>
      </c>
      <c r="C33" s="256"/>
      <c r="D33" s="251">
        <f aca="true" t="shared" si="18" ref="D33:I33">SUM(D39+D70)</f>
        <v>1033052</v>
      </c>
      <c r="E33" s="252">
        <f t="shared" si="18"/>
        <v>1022535</v>
      </c>
      <c r="F33" s="358">
        <f t="shared" si="18"/>
        <v>-10517</v>
      </c>
      <c r="G33" s="276">
        <f>SUM(G39+G70)</f>
        <v>157069</v>
      </c>
      <c r="H33" s="252">
        <f>SUM(H39+H70)</f>
        <v>150092</v>
      </c>
      <c r="I33" s="155">
        <f t="shared" si="18"/>
        <v>-6977</v>
      </c>
      <c r="J33" s="253"/>
      <c r="K33" s="254"/>
      <c r="L33" s="341"/>
      <c r="M33" s="276">
        <f>SUM(M39+M70)</f>
        <v>157069</v>
      </c>
      <c r="N33" s="252">
        <f>SUM(N39+N70)</f>
        <v>152396</v>
      </c>
      <c r="O33" s="155">
        <f>SUM(O39+O70)</f>
        <v>-4673</v>
      </c>
      <c r="P33" s="253"/>
      <c r="Q33" s="254"/>
      <c r="R33" s="341"/>
      <c r="S33" s="276">
        <f>SUM(S39+S70)</f>
        <v>157069</v>
      </c>
      <c r="T33" s="252">
        <f>SUM(T39+T70)</f>
        <v>158202</v>
      </c>
      <c r="U33" s="155">
        <f>SUM(U39+U70)</f>
        <v>1133</v>
      </c>
      <c r="V33" s="253"/>
      <c r="W33" s="254"/>
      <c r="X33" s="87"/>
    </row>
    <row r="34" spans="1:24" s="7" customFormat="1" ht="15" customHeight="1">
      <c r="A34" s="76" t="s">
        <v>739</v>
      </c>
      <c r="B34" s="9" t="s">
        <v>10</v>
      </c>
      <c r="C34" s="256"/>
      <c r="D34" s="251">
        <f aca="true" t="shared" si="19" ref="D34:I34">SUM(D71)</f>
        <v>273000</v>
      </c>
      <c r="E34" s="252">
        <f t="shared" si="19"/>
        <v>273000</v>
      </c>
      <c r="F34" s="358">
        <f t="shared" si="19"/>
        <v>0</v>
      </c>
      <c r="G34" s="276">
        <f>SUM(G71)</f>
        <v>41000</v>
      </c>
      <c r="H34" s="252">
        <f>SUM(H71)</f>
        <v>41000</v>
      </c>
      <c r="I34" s="155">
        <f t="shared" si="19"/>
        <v>0</v>
      </c>
      <c r="J34" s="253"/>
      <c r="K34" s="254"/>
      <c r="L34" s="341"/>
      <c r="M34" s="276">
        <f>SUM(M71)</f>
        <v>41000</v>
      </c>
      <c r="N34" s="252">
        <f>SUM(N71)</f>
        <v>41000</v>
      </c>
      <c r="O34" s="155">
        <f>SUM(O71)</f>
        <v>0</v>
      </c>
      <c r="P34" s="253"/>
      <c r="Q34" s="254"/>
      <c r="R34" s="341"/>
      <c r="S34" s="276">
        <f>SUM(S71)</f>
        <v>41000</v>
      </c>
      <c r="T34" s="252">
        <f>SUM(T71)</f>
        <v>41000</v>
      </c>
      <c r="U34" s="155">
        <f>SUM(U71)</f>
        <v>0</v>
      </c>
      <c r="V34" s="253"/>
      <c r="W34" s="254"/>
      <c r="X34" s="87"/>
    </row>
    <row r="35" spans="1:24" s="7" customFormat="1" ht="15" customHeight="1">
      <c r="A35" s="126"/>
      <c r="B35" s="261"/>
      <c r="C35" s="262"/>
      <c r="D35" s="389" t="s">
        <v>11</v>
      </c>
      <c r="E35" s="390"/>
      <c r="F35" s="390"/>
      <c r="G35" s="390"/>
      <c r="H35" s="390"/>
      <c r="I35" s="390"/>
      <c r="J35" s="390"/>
      <c r="K35" s="390"/>
      <c r="L35" s="391"/>
      <c r="M35" s="389" t="s">
        <v>11</v>
      </c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</row>
    <row r="36" spans="1:24" s="24" customFormat="1" ht="35.25" customHeight="1">
      <c r="A36" s="76" t="s">
        <v>740</v>
      </c>
      <c r="B36" s="26" t="s">
        <v>549</v>
      </c>
      <c r="C36" s="256"/>
      <c r="D36" s="257">
        <f aca="true" t="shared" si="20" ref="D36:I36">SUM(D37:D40)</f>
        <v>57099.123</v>
      </c>
      <c r="E36" s="258">
        <f t="shared" si="20"/>
        <v>57099.123</v>
      </c>
      <c r="F36" s="360">
        <f t="shared" si="20"/>
        <v>0</v>
      </c>
      <c r="G36" s="268">
        <f>SUM(G37:G40)</f>
        <v>0</v>
      </c>
      <c r="H36" s="258">
        <f>SUM(H37:H40)</f>
        <v>0</v>
      </c>
      <c r="I36" s="153">
        <f t="shared" si="20"/>
        <v>0</v>
      </c>
      <c r="J36" s="259"/>
      <c r="K36" s="260"/>
      <c r="L36" s="351"/>
      <c r="M36" s="268">
        <f>SUM(M37:M40)</f>
        <v>0</v>
      </c>
      <c r="N36" s="258">
        <f>SUM(N37:N40)</f>
        <v>0</v>
      </c>
      <c r="O36" s="153">
        <f>SUM(O37:O40)</f>
        <v>0</v>
      </c>
      <c r="P36" s="259"/>
      <c r="Q36" s="260"/>
      <c r="R36" s="351"/>
      <c r="S36" s="268">
        <f>SUM(S37:S40)</f>
        <v>0</v>
      </c>
      <c r="T36" s="258">
        <f>SUM(T37:T40)</f>
        <v>0</v>
      </c>
      <c r="U36" s="153">
        <f>SUM(U37:U40)</f>
        <v>0</v>
      </c>
      <c r="V36" s="259"/>
      <c r="W36" s="260"/>
      <c r="X36" s="86"/>
    </row>
    <row r="37" spans="1:24" s="7" customFormat="1" ht="15" customHeight="1">
      <c r="A37" s="76" t="s">
        <v>741</v>
      </c>
      <c r="B37" s="9" t="s">
        <v>7</v>
      </c>
      <c r="C37" s="256"/>
      <c r="D37" s="238">
        <f>SUM(D43+D61)</f>
        <v>9737.823</v>
      </c>
      <c r="E37" s="239">
        <f>SUM(E43+E61)</f>
        <v>9737.823</v>
      </c>
      <c r="F37" s="355">
        <f>E37-D37</f>
        <v>0</v>
      </c>
      <c r="G37" s="276">
        <f>SUM(G43+G61)</f>
        <v>0</v>
      </c>
      <c r="H37" s="252">
        <f>SUM(H43+H61)</f>
        <v>0</v>
      </c>
      <c r="I37" s="140">
        <f>H37-G37</f>
        <v>0</v>
      </c>
      <c r="J37" s="240"/>
      <c r="K37" s="241"/>
      <c r="L37" s="338"/>
      <c r="M37" s="276">
        <f>SUM(M43+M61)</f>
        <v>0</v>
      </c>
      <c r="N37" s="252">
        <f>SUM(N43+N61)</f>
        <v>0</v>
      </c>
      <c r="O37" s="155">
        <f>N37-M37</f>
        <v>0</v>
      </c>
      <c r="P37" s="253"/>
      <c r="Q37" s="254"/>
      <c r="R37" s="341"/>
      <c r="S37" s="276">
        <f>SUM(S43+S61)</f>
        <v>0</v>
      </c>
      <c r="T37" s="252">
        <f>SUM(T43+T61)</f>
        <v>0</v>
      </c>
      <c r="U37" s="155">
        <f>T37-S37</f>
        <v>0</v>
      </c>
      <c r="V37" s="253"/>
      <c r="W37" s="254"/>
      <c r="X37" s="87"/>
    </row>
    <row r="38" spans="1:24" s="7" customFormat="1" ht="15" customHeight="1">
      <c r="A38" s="76" t="s">
        <v>742</v>
      </c>
      <c r="B38" s="9" t="s">
        <v>8</v>
      </c>
      <c r="C38" s="256"/>
      <c r="D38" s="238">
        <f>SUM(D44)</f>
        <v>12802.1</v>
      </c>
      <c r="E38" s="239">
        <f>SUM(E44)</f>
        <v>12802.1</v>
      </c>
      <c r="F38" s="355">
        <f>E38-D38</f>
        <v>0</v>
      </c>
      <c r="G38" s="272">
        <f>SUM(G44)</f>
        <v>0</v>
      </c>
      <c r="H38" s="239">
        <f>SUM(H44)</f>
        <v>0</v>
      </c>
      <c r="I38" s="140">
        <f>H38-G38</f>
        <v>0</v>
      </c>
      <c r="J38" s="240"/>
      <c r="K38" s="241"/>
      <c r="L38" s="338"/>
      <c r="M38" s="272">
        <f>SUM(M44)</f>
        <v>0</v>
      </c>
      <c r="N38" s="239">
        <f>SUM(N44)</f>
        <v>0</v>
      </c>
      <c r="O38" s="155">
        <f>N38-M38</f>
        <v>0</v>
      </c>
      <c r="P38" s="253"/>
      <c r="Q38" s="254"/>
      <c r="R38" s="341"/>
      <c r="S38" s="272">
        <f>SUM(S44)</f>
        <v>0</v>
      </c>
      <c r="T38" s="239">
        <f>SUM(T44)</f>
        <v>0</v>
      </c>
      <c r="U38" s="155">
        <f>T38-S38</f>
        <v>0</v>
      </c>
      <c r="V38" s="253"/>
      <c r="W38" s="254"/>
      <c r="X38" s="87"/>
    </row>
    <row r="39" spans="1:24" s="7" customFormat="1" ht="15" customHeight="1">
      <c r="A39" s="76" t="s">
        <v>743</v>
      </c>
      <c r="B39" s="9" t="s">
        <v>9</v>
      </c>
      <c r="C39" s="256"/>
      <c r="D39" s="238">
        <f>SUM(D45+D63)</f>
        <v>34559.2</v>
      </c>
      <c r="E39" s="239">
        <f>SUM(E45+E63)</f>
        <v>34559.2</v>
      </c>
      <c r="F39" s="355">
        <f>E39-D39</f>
        <v>0</v>
      </c>
      <c r="G39" s="276">
        <f>SUM(G45+G63)</f>
        <v>0</v>
      </c>
      <c r="H39" s="252">
        <f>SUM(H45+H63)</f>
        <v>0</v>
      </c>
      <c r="I39" s="140">
        <f>H39-G39</f>
        <v>0</v>
      </c>
      <c r="J39" s="240"/>
      <c r="K39" s="241"/>
      <c r="L39" s="338"/>
      <c r="M39" s="276">
        <f>SUM(M45+M63)</f>
        <v>0</v>
      </c>
      <c r="N39" s="252">
        <f>SUM(N45+N63)</f>
        <v>0</v>
      </c>
      <c r="O39" s="155">
        <f>N39-M39</f>
        <v>0</v>
      </c>
      <c r="P39" s="253"/>
      <c r="Q39" s="254"/>
      <c r="R39" s="341"/>
      <c r="S39" s="276">
        <f>SUM(S45+S63)</f>
        <v>0</v>
      </c>
      <c r="T39" s="252">
        <f>SUM(T45+T63)</f>
        <v>0</v>
      </c>
      <c r="U39" s="155">
        <f>T39-S39</f>
        <v>0</v>
      </c>
      <c r="V39" s="253"/>
      <c r="W39" s="254"/>
      <c r="X39" s="87"/>
    </row>
    <row r="40" spans="1:24" s="7" customFormat="1" ht="15" customHeight="1">
      <c r="A40" s="76" t="s">
        <v>744</v>
      </c>
      <c r="B40" s="9" t="s">
        <v>10</v>
      </c>
      <c r="C40" s="237"/>
      <c r="D40" s="238"/>
      <c r="E40" s="239"/>
      <c r="F40" s="355"/>
      <c r="G40" s="276"/>
      <c r="H40" s="252"/>
      <c r="I40" s="140"/>
      <c r="J40" s="240"/>
      <c r="K40" s="241"/>
      <c r="L40" s="338"/>
      <c r="M40" s="276"/>
      <c r="N40" s="252"/>
      <c r="O40" s="155"/>
      <c r="P40" s="253"/>
      <c r="Q40" s="254"/>
      <c r="R40" s="341"/>
      <c r="S40" s="276"/>
      <c r="T40" s="252"/>
      <c r="U40" s="155"/>
      <c r="V40" s="253"/>
      <c r="W40" s="254"/>
      <c r="X40" s="87"/>
    </row>
    <row r="41" spans="1:24" s="7" customFormat="1" ht="15" customHeight="1">
      <c r="A41" s="127"/>
      <c r="B41" s="263"/>
      <c r="C41" s="263"/>
      <c r="D41" s="402" t="s">
        <v>12</v>
      </c>
      <c r="E41" s="403"/>
      <c r="F41" s="403"/>
      <c r="G41" s="403"/>
      <c r="H41" s="403"/>
      <c r="I41" s="403"/>
      <c r="J41" s="403"/>
      <c r="K41" s="403"/>
      <c r="L41" s="420"/>
      <c r="M41" s="423" t="s">
        <v>12</v>
      </c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</row>
    <row r="42" spans="1:24" s="24" customFormat="1" ht="51" customHeight="1">
      <c r="A42" s="76" t="s">
        <v>745</v>
      </c>
      <c r="B42" s="26" t="s">
        <v>99</v>
      </c>
      <c r="C42" s="256"/>
      <c r="D42" s="264">
        <f aca="true" t="shared" si="21" ref="D42:I42">SUM(D43:D46)</f>
        <v>57099.123</v>
      </c>
      <c r="E42" s="265">
        <f t="shared" si="21"/>
        <v>57099.123</v>
      </c>
      <c r="F42" s="361">
        <f t="shared" si="21"/>
        <v>0</v>
      </c>
      <c r="G42" s="268">
        <f>SUM(G43:G46)</f>
        <v>0</v>
      </c>
      <c r="H42" s="269">
        <f>SUM(H43:H46)</f>
        <v>0</v>
      </c>
      <c r="I42" s="144">
        <f t="shared" si="21"/>
        <v>0</v>
      </c>
      <c r="J42" s="266"/>
      <c r="K42" s="267"/>
      <c r="L42" s="343"/>
      <c r="M42" s="268">
        <f>SUM(M43:M46)</f>
        <v>0</v>
      </c>
      <c r="N42" s="269">
        <f>SUM(N43:N46)</f>
        <v>0</v>
      </c>
      <c r="O42" s="156">
        <f>SUM(O43:O46)</f>
        <v>0</v>
      </c>
      <c r="P42" s="270"/>
      <c r="Q42" s="271"/>
      <c r="R42" s="351"/>
      <c r="S42" s="268">
        <f>SUM(S43:S46)</f>
        <v>0</v>
      </c>
      <c r="T42" s="269">
        <f>SUM(T43:T46)</f>
        <v>0</v>
      </c>
      <c r="U42" s="156">
        <f>SUM(U43:U46)</f>
        <v>0</v>
      </c>
      <c r="V42" s="270"/>
      <c r="W42" s="271"/>
      <c r="X42" s="70"/>
    </row>
    <row r="43" spans="1:24" s="7" customFormat="1" ht="15" customHeight="1">
      <c r="A43" s="76" t="s">
        <v>746</v>
      </c>
      <c r="B43" s="9" t="s">
        <v>7</v>
      </c>
      <c r="C43" s="256"/>
      <c r="D43" s="272">
        <f>SUM(D49+D55)</f>
        <v>9737.823</v>
      </c>
      <c r="E43" s="273">
        <f>SUM(E49+E55)</f>
        <v>9737.823</v>
      </c>
      <c r="F43" s="355">
        <f>E43-D43</f>
        <v>0</v>
      </c>
      <c r="G43" s="276">
        <f>SUM(G49+G55)</f>
        <v>0</v>
      </c>
      <c r="H43" s="277">
        <f>SUM(H49+H55)</f>
        <v>0</v>
      </c>
      <c r="I43" s="140">
        <f>H43-G43</f>
        <v>0</v>
      </c>
      <c r="J43" s="274"/>
      <c r="K43" s="275"/>
      <c r="L43" s="338"/>
      <c r="M43" s="276">
        <f>SUM(M49+M55)</f>
        <v>0</v>
      </c>
      <c r="N43" s="277">
        <f>SUM(N49+N55)</f>
        <v>0</v>
      </c>
      <c r="O43" s="155">
        <f>N43-M43</f>
        <v>0</v>
      </c>
      <c r="P43" s="278"/>
      <c r="Q43" s="279"/>
      <c r="R43" s="341"/>
      <c r="S43" s="276">
        <f>SUM(S49+S55)</f>
        <v>0</v>
      </c>
      <c r="T43" s="277">
        <f>SUM(T49+T55)</f>
        <v>0</v>
      </c>
      <c r="U43" s="155">
        <f>T43-S43</f>
        <v>0</v>
      </c>
      <c r="V43" s="278"/>
      <c r="W43" s="279"/>
      <c r="X43" s="87"/>
    </row>
    <row r="44" spans="1:24" s="7" customFormat="1" ht="15" customHeight="1">
      <c r="A44" s="76" t="s">
        <v>747</v>
      </c>
      <c r="B44" s="9" t="s">
        <v>8</v>
      </c>
      <c r="C44" s="256"/>
      <c r="D44" s="272">
        <f>SUM(D50)</f>
        <v>12802.1</v>
      </c>
      <c r="E44" s="273">
        <f>SUM(E50)</f>
        <v>12802.1</v>
      </c>
      <c r="F44" s="355">
        <f>E44-D44</f>
        <v>0</v>
      </c>
      <c r="G44" s="276">
        <f>SUM(G50)</f>
        <v>0</v>
      </c>
      <c r="H44" s="277">
        <f>SUM(H50)</f>
        <v>0</v>
      </c>
      <c r="I44" s="140">
        <f>H44-G44</f>
        <v>0</v>
      </c>
      <c r="J44" s="274"/>
      <c r="K44" s="275"/>
      <c r="L44" s="338"/>
      <c r="M44" s="276">
        <f>SUM(M50)</f>
        <v>0</v>
      </c>
      <c r="N44" s="277">
        <f>SUM(N50)</f>
        <v>0</v>
      </c>
      <c r="O44" s="155">
        <f>N44-M44</f>
        <v>0</v>
      </c>
      <c r="P44" s="278"/>
      <c r="Q44" s="279"/>
      <c r="R44" s="341"/>
      <c r="S44" s="276">
        <f>SUM(S50)</f>
        <v>0</v>
      </c>
      <c r="T44" s="277">
        <f>SUM(T50)</f>
        <v>0</v>
      </c>
      <c r="U44" s="155">
        <f>T44-S44</f>
        <v>0</v>
      </c>
      <c r="V44" s="278"/>
      <c r="W44" s="279"/>
      <c r="X44" s="87"/>
    </row>
    <row r="45" spans="1:24" s="7" customFormat="1" ht="15" customHeight="1">
      <c r="A45" s="76" t="s">
        <v>748</v>
      </c>
      <c r="B45" s="9" t="s">
        <v>9</v>
      </c>
      <c r="C45" s="256"/>
      <c r="D45" s="272">
        <f>SUM(D51)</f>
        <v>34559.2</v>
      </c>
      <c r="E45" s="273">
        <f>SUM(E51)</f>
        <v>34559.2</v>
      </c>
      <c r="F45" s="355">
        <f>E45-D45</f>
        <v>0</v>
      </c>
      <c r="G45" s="276">
        <f>SUM(G51)</f>
        <v>0</v>
      </c>
      <c r="H45" s="277">
        <f>SUM(H51)</f>
        <v>0</v>
      </c>
      <c r="I45" s="140">
        <f>H45-G45</f>
        <v>0</v>
      </c>
      <c r="J45" s="274"/>
      <c r="K45" s="275"/>
      <c r="L45" s="338"/>
      <c r="M45" s="276">
        <f>SUM(M51)</f>
        <v>0</v>
      </c>
      <c r="N45" s="277">
        <f>SUM(N51)</f>
        <v>0</v>
      </c>
      <c r="O45" s="155">
        <f>N45-M45</f>
        <v>0</v>
      </c>
      <c r="P45" s="278"/>
      <c r="Q45" s="279"/>
      <c r="R45" s="341"/>
      <c r="S45" s="276">
        <f>SUM(S51)</f>
        <v>0</v>
      </c>
      <c r="T45" s="277">
        <f>SUM(T51)</f>
        <v>0</v>
      </c>
      <c r="U45" s="155">
        <f>T45-S45</f>
        <v>0</v>
      </c>
      <c r="V45" s="278"/>
      <c r="W45" s="279"/>
      <c r="X45" s="87"/>
    </row>
    <row r="46" spans="1:24" s="7" customFormat="1" ht="15" customHeight="1">
      <c r="A46" s="76" t="s">
        <v>749</v>
      </c>
      <c r="B46" s="9" t="s">
        <v>10</v>
      </c>
      <c r="C46" s="256"/>
      <c r="D46" s="238">
        <v>0</v>
      </c>
      <c r="E46" s="239">
        <v>0</v>
      </c>
      <c r="F46" s="355">
        <f>E46-D46</f>
        <v>0</v>
      </c>
      <c r="G46" s="272">
        <v>0</v>
      </c>
      <c r="H46" s="239">
        <v>0</v>
      </c>
      <c r="I46" s="140">
        <f>H46-G46</f>
        <v>0</v>
      </c>
      <c r="J46" s="240"/>
      <c r="K46" s="241"/>
      <c r="L46" s="338"/>
      <c r="M46" s="272">
        <v>0</v>
      </c>
      <c r="N46" s="239">
        <v>0</v>
      </c>
      <c r="O46" s="155">
        <f>N46-M46</f>
        <v>0</v>
      </c>
      <c r="P46" s="253"/>
      <c r="Q46" s="254"/>
      <c r="R46" s="341"/>
      <c r="S46" s="272">
        <v>0</v>
      </c>
      <c r="T46" s="239">
        <v>0</v>
      </c>
      <c r="U46" s="155">
        <f>T46-S46</f>
        <v>0</v>
      </c>
      <c r="V46" s="253"/>
      <c r="W46" s="254"/>
      <c r="X46" s="87"/>
    </row>
    <row r="47" spans="1:24" s="7" customFormat="1" ht="15" customHeight="1">
      <c r="A47" s="76"/>
      <c r="B47" s="9"/>
      <c r="C47" s="256"/>
      <c r="D47" s="272"/>
      <c r="E47" s="273"/>
      <c r="F47" s="358"/>
      <c r="G47" s="276"/>
      <c r="H47" s="277"/>
      <c r="I47" s="150"/>
      <c r="J47" s="278"/>
      <c r="K47" s="279"/>
      <c r="L47" s="341"/>
      <c r="M47" s="276"/>
      <c r="N47" s="277"/>
      <c r="O47" s="150"/>
      <c r="P47" s="278"/>
      <c r="Q47" s="279"/>
      <c r="R47" s="341"/>
      <c r="S47" s="276"/>
      <c r="T47" s="277"/>
      <c r="U47" s="150"/>
      <c r="V47" s="278"/>
      <c r="W47" s="279"/>
      <c r="X47" s="113"/>
    </row>
    <row r="48" spans="1:24" s="13" customFormat="1" ht="93.75" customHeight="1">
      <c r="A48" s="72" t="s">
        <v>750</v>
      </c>
      <c r="B48" s="27" t="s">
        <v>103</v>
      </c>
      <c r="C48" s="280" t="s">
        <v>550</v>
      </c>
      <c r="D48" s="264">
        <f aca="true" t="shared" si="22" ref="D48:I48">SUM(D49:D52)</f>
        <v>49099.123</v>
      </c>
      <c r="E48" s="265">
        <f t="shared" si="22"/>
        <v>49099.123</v>
      </c>
      <c r="F48" s="361">
        <f t="shared" si="22"/>
        <v>0</v>
      </c>
      <c r="G48" s="264">
        <f>SUM(G49:G52)</f>
        <v>0</v>
      </c>
      <c r="H48" s="265">
        <f>SUM(H49:H52)</f>
        <v>0</v>
      </c>
      <c r="I48" s="144">
        <f t="shared" si="22"/>
        <v>0</v>
      </c>
      <c r="J48" s="281" t="s">
        <v>551</v>
      </c>
      <c r="K48" s="282" t="s">
        <v>551</v>
      </c>
      <c r="L48" s="344" t="s">
        <v>552</v>
      </c>
      <c r="M48" s="264">
        <f>SUM(M49:M52)</f>
        <v>0</v>
      </c>
      <c r="N48" s="265">
        <f>SUM(N49:N52)</f>
        <v>0</v>
      </c>
      <c r="O48" s="144">
        <f>SUM(O49:O52)</f>
        <v>0</v>
      </c>
      <c r="P48" s="281" t="s">
        <v>553</v>
      </c>
      <c r="Q48" s="282" t="s">
        <v>553</v>
      </c>
      <c r="R48" s="344" t="s">
        <v>552</v>
      </c>
      <c r="S48" s="264">
        <f>SUM(S49:S52)</f>
        <v>0</v>
      </c>
      <c r="T48" s="265">
        <f>SUM(T49:T52)</f>
        <v>0</v>
      </c>
      <c r="U48" s="144">
        <f>SUM(U49:U52)</f>
        <v>0</v>
      </c>
      <c r="V48" s="281" t="s">
        <v>554</v>
      </c>
      <c r="W48" s="282" t="s">
        <v>554</v>
      </c>
      <c r="X48" s="283" t="s">
        <v>552</v>
      </c>
    </row>
    <row r="49" spans="1:24" s="13" customFormat="1" ht="15" customHeight="1">
      <c r="A49" s="72" t="s">
        <v>751</v>
      </c>
      <c r="B49" s="22" t="s">
        <v>7</v>
      </c>
      <c r="C49" s="284" t="s">
        <v>147</v>
      </c>
      <c r="D49" s="238">
        <v>1737.823</v>
      </c>
      <c r="E49" s="239">
        <v>1737.823</v>
      </c>
      <c r="F49" s="355">
        <f>E49-D49</f>
        <v>0</v>
      </c>
      <c r="G49" s="272"/>
      <c r="H49" s="239"/>
      <c r="I49" s="140">
        <f>H49-G49</f>
        <v>0</v>
      </c>
      <c r="J49" s="240"/>
      <c r="K49" s="241"/>
      <c r="L49" s="362"/>
      <c r="M49" s="363"/>
      <c r="N49" s="239"/>
      <c r="O49" s="140">
        <f>N49-M49</f>
        <v>0</v>
      </c>
      <c r="P49" s="240"/>
      <c r="Q49" s="241"/>
      <c r="R49" s="338"/>
      <c r="S49" s="272"/>
      <c r="T49" s="239"/>
      <c r="U49" s="140">
        <f>T49-S49</f>
        <v>0</v>
      </c>
      <c r="V49" s="240"/>
      <c r="W49" s="241"/>
      <c r="X49" s="83"/>
    </row>
    <row r="50" spans="1:24" s="13" customFormat="1" ht="15" customHeight="1">
      <c r="A50" s="72" t="s">
        <v>752</v>
      </c>
      <c r="B50" s="22" t="s">
        <v>8</v>
      </c>
      <c r="C50" s="284"/>
      <c r="D50" s="238">
        <v>12802.1</v>
      </c>
      <c r="E50" s="239">
        <v>12802.1</v>
      </c>
      <c r="F50" s="355">
        <f>E50-D50</f>
        <v>0</v>
      </c>
      <c r="G50" s="272"/>
      <c r="H50" s="239"/>
      <c r="I50" s="140">
        <f>H50-G50</f>
        <v>0</v>
      </c>
      <c r="J50" s="240"/>
      <c r="K50" s="241"/>
      <c r="L50" s="338"/>
      <c r="M50" s="272"/>
      <c r="N50" s="239"/>
      <c r="O50" s="140">
        <f>N50-M50</f>
        <v>0</v>
      </c>
      <c r="P50" s="240"/>
      <c r="Q50" s="241"/>
      <c r="R50" s="338"/>
      <c r="S50" s="272"/>
      <c r="T50" s="239"/>
      <c r="U50" s="140">
        <f>T50-S50</f>
        <v>0</v>
      </c>
      <c r="V50" s="240"/>
      <c r="W50" s="241"/>
      <c r="X50" s="83"/>
    </row>
    <row r="51" spans="1:24" s="13" customFormat="1" ht="15" customHeight="1">
      <c r="A51" s="72" t="s">
        <v>753</v>
      </c>
      <c r="B51" s="22" t="s">
        <v>9</v>
      </c>
      <c r="C51" s="284"/>
      <c r="D51" s="238">
        <v>34559.2</v>
      </c>
      <c r="E51" s="239">
        <v>34559.2</v>
      </c>
      <c r="F51" s="355">
        <f>E51-D51</f>
        <v>0</v>
      </c>
      <c r="G51" s="272"/>
      <c r="H51" s="239"/>
      <c r="I51" s="140">
        <f>H51-G51</f>
        <v>0</v>
      </c>
      <c r="J51" s="240"/>
      <c r="K51" s="241"/>
      <c r="L51" s="338"/>
      <c r="M51" s="272"/>
      <c r="N51" s="239"/>
      <c r="O51" s="140">
        <f>N51-M51</f>
        <v>0</v>
      </c>
      <c r="P51" s="240"/>
      <c r="Q51" s="241"/>
      <c r="R51" s="338"/>
      <c r="S51" s="272"/>
      <c r="T51" s="239"/>
      <c r="U51" s="140">
        <f>T51-S51</f>
        <v>0</v>
      </c>
      <c r="V51" s="240"/>
      <c r="W51" s="241"/>
      <c r="X51" s="83"/>
    </row>
    <row r="52" spans="1:24" s="13" customFormat="1" ht="15" customHeight="1">
      <c r="A52" s="72" t="s">
        <v>754</v>
      </c>
      <c r="B52" s="22" t="s">
        <v>10</v>
      </c>
      <c r="C52" s="284"/>
      <c r="D52" s="238">
        <v>0</v>
      </c>
      <c r="E52" s="239">
        <v>0</v>
      </c>
      <c r="F52" s="355">
        <f>E52-D52</f>
        <v>0</v>
      </c>
      <c r="G52" s="272"/>
      <c r="H52" s="239"/>
      <c r="I52" s="140">
        <f>H52-G52</f>
        <v>0</v>
      </c>
      <c r="J52" s="240"/>
      <c r="K52" s="241"/>
      <c r="L52" s="338"/>
      <c r="M52" s="272"/>
      <c r="N52" s="239"/>
      <c r="O52" s="140">
        <f>N52-M52</f>
        <v>0</v>
      </c>
      <c r="P52" s="240"/>
      <c r="Q52" s="241"/>
      <c r="R52" s="338"/>
      <c r="S52" s="272"/>
      <c r="T52" s="239"/>
      <c r="U52" s="140">
        <f>T52-S52</f>
        <v>0</v>
      </c>
      <c r="V52" s="240"/>
      <c r="W52" s="241"/>
      <c r="X52" s="83"/>
    </row>
    <row r="53" spans="1:24" s="13" customFormat="1" ht="15" customHeight="1">
      <c r="A53" s="72"/>
      <c r="B53" s="22"/>
      <c r="C53" s="284"/>
      <c r="D53" s="238"/>
      <c r="E53" s="239"/>
      <c r="F53" s="355"/>
      <c r="G53" s="272"/>
      <c r="H53" s="273"/>
      <c r="I53" s="145"/>
      <c r="J53" s="274"/>
      <c r="K53" s="275"/>
      <c r="L53" s="338"/>
      <c r="M53" s="272"/>
      <c r="N53" s="273"/>
      <c r="O53" s="145"/>
      <c r="P53" s="274"/>
      <c r="Q53" s="275"/>
      <c r="R53" s="338"/>
      <c r="S53" s="272"/>
      <c r="T53" s="273"/>
      <c r="U53" s="145"/>
      <c r="V53" s="274"/>
      <c r="W53" s="275"/>
      <c r="X53" s="118"/>
    </row>
    <row r="54" spans="1:24" s="13" customFormat="1" ht="54" customHeight="1">
      <c r="A54" s="72" t="s">
        <v>216</v>
      </c>
      <c r="B54" s="27" t="s">
        <v>217</v>
      </c>
      <c r="C54" s="280" t="s">
        <v>555</v>
      </c>
      <c r="D54" s="285">
        <f aca="true" t="shared" si="23" ref="D54:I54">SUM(D55)</f>
        <v>8000</v>
      </c>
      <c r="E54" s="286">
        <f t="shared" si="23"/>
        <v>8000</v>
      </c>
      <c r="F54" s="361">
        <f t="shared" si="23"/>
        <v>0</v>
      </c>
      <c r="G54" s="264">
        <f>SUM(G55)</f>
        <v>0</v>
      </c>
      <c r="H54" s="286">
        <f>SUM(H55)</f>
        <v>0</v>
      </c>
      <c r="I54" s="143">
        <f t="shared" si="23"/>
        <v>0</v>
      </c>
      <c r="J54" s="281" t="s">
        <v>557</v>
      </c>
      <c r="K54" s="282" t="s">
        <v>557</v>
      </c>
      <c r="L54" s="346" t="s">
        <v>687</v>
      </c>
      <c r="M54" s="264">
        <f>SUM(M55)</f>
        <v>0</v>
      </c>
      <c r="N54" s="286">
        <f>SUM(N55)</f>
        <v>0</v>
      </c>
      <c r="O54" s="143">
        <f>SUM(O55)</f>
        <v>0</v>
      </c>
      <c r="P54" s="281" t="s">
        <v>558</v>
      </c>
      <c r="Q54" s="282" t="s">
        <v>558</v>
      </c>
      <c r="R54" s="346" t="s">
        <v>556</v>
      </c>
      <c r="S54" s="264">
        <f>SUM(S55)</f>
        <v>0</v>
      </c>
      <c r="T54" s="286">
        <f>SUM(T55)</f>
        <v>0</v>
      </c>
      <c r="U54" s="143">
        <f>SUM(U55)</f>
        <v>0</v>
      </c>
      <c r="V54" s="281" t="s">
        <v>689</v>
      </c>
      <c r="W54" s="282" t="s">
        <v>689</v>
      </c>
      <c r="X54" s="287" t="s">
        <v>556</v>
      </c>
    </row>
    <row r="55" spans="1:24" s="13" customFormat="1" ht="15" customHeight="1">
      <c r="A55" s="72" t="s">
        <v>218</v>
      </c>
      <c r="B55" s="22" t="s">
        <v>7</v>
      </c>
      <c r="C55" s="284"/>
      <c r="D55" s="238">
        <f>SUM(D57)</f>
        <v>8000</v>
      </c>
      <c r="E55" s="239">
        <f>SUM(E57)</f>
        <v>8000</v>
      </c>
      <c r="F55" s="355">
        <f>E55-D55</f>
        <v>0</v>
      </c>
      <c r="G55" s="272">
        <f>SUM(G57)</f>
        <v>0</v>
      </c>
      <c r="H55" s="239">
        <f>SUM(H57)</f>
        <v>0</v>
      </c>
      <c r="I55" s="140">
        <f>H55-G55</f>
        <v>0</v>
      </c>
      <c r="J55" s="274"/>
      <c r="K55" s="275"/>
      <c r="L55" s="338"/>
      <c r="M55" s="272">
        <f>SUM(M57)</f>
        <v>0</v>
      </c>
      <c r="N55" s="239">
        <f>SUM(N57)</f>
        <v>0</v>
      </c>
      <c r="O55" s="140">
        <f>N55-M55</f>
        <v>0</v>
      </c>
      <c r="P55" s="274"/>
      <c r="Q55" s="275"/>
      <c r="R55" s="338"/>
      <c r="S55" s="272">
        <f>SUM(S57)</f>
        <v>0</v>
      </c>
      <c r="T55" s="239">
        <f>SUM(T57)</f>
        <v>0</v>
      </c>
      <c r="U55" s="140">
        <f>T55-S55</f>
        <v>0</v>
      </c>
      <c r="V55" s="274"/>
      <c r="W55" s="275"/>
      <c r="X55" s="118"/>
    </row>
    <row r="56" spans="1:24" s="13" customFormat="1" ht="15" customHeight="1">
      <c r="A56" s="72"/>
      <c r="B56" s="22" t="s">
        <v>19</v>
      </c>
      <c r="C56" s="284"/>
      <c r="D56" s="238"/>
      <c r="E56" s="239"/>
      <c r="F56" s="355"/>
      <c r="G56" s="272"/>
      <c r="H56" s="239"/>
      <c r="I56" s="145"/>
      <c r="J56" s="274"/>
      <c r="K56" s="275"/>
      <c r="L56" s="338"/>
      <c r="M56" s="272"/>
      <c r="N56" s="239"/>
      <c r="O56" s="145"/>
      <c r="P56" s="274"/>
      <c r="Q56" s="275"/>
      <c r="R56" s="338"/>
      <c r="S56" s="272"/>
      <c r="T56" s="239"/>
      <c r="U56" s="145"/>
      <c r="V56" s="274"/>
      <c r="W56" s="275"/>
      <c r="X56" s="118"/>
    </row>
    <row r="57" spans="1:24" s="13" customFormat="1" ht="15" customHeight="1">
      <c r="A57" s="72" t="s">
        <v>219</v>
      </c>
      <c r="B57" s="22" t="s">
        <v>220</v>
      </c>
      <c r="C57" s="284"/>
      <c r="D57" s="238">
        <v>8000</v>
      </c>
      <c r="E57" s="239">
        <v>8000</v>
      </c>
      <c r="F57" s="355">
        <f>E57-D57</f>
        <v>0</v>
      </c>
      <c r="G57" s="272"/>
      <c r="H57" s="239"/>
      <c r="I57" s="140">
        <f>H57-G57</f>
        <v>0</v>
      </c>
      <c r="J57" s="274"/>
      <c r="K57" s="275"/>
      <c r="L57" s="338"/>
      <c r="M57" s="272"/>
      <c r="N57" s="239"/>
      <c r="O57" s="140">
        <f>N57-M57</f>
        <v>0</v>
      </c>
      <c r="P57" s="274"/>
      <c r="Q57" s="275"/>
      <c r="R57" s="338"/>
      <c r="S57" s="272"/>
      <c r="T57" s="239"/>
      <c r="U57" s="140">
        <f>T57-S57</f>
        <v>0</v>
      </c>
      <c r="V57" s="274"/>
      <c r="W57" s="275"/>
      <c r="X57" s="118"/>
    </row>
    <row r="58" spans="1:24" s="7" customFormat="1" ht="15" customHeight="1">
      <c r="A58" s="72"/>
      <c r="B58" s="9"/>
      <c r="C58" s="256"/>
      <c r="D58" s="238"/>
      <c r="E58" s="239"/>
      <c r="F58" s="358"/>
      <c r="G58" s="276"/>
      <c r="H58" s="277"/>
      <c r="I58" s="150"/>
      <c r="J58" s="278"/>
      <c r="K58" s="279"/>
      <c r="L58" s="341"/>
      <c r="M58" s="276"/>
      <c r="N58" s="277"/>
      <c r="O58" s="150"/>
      <c r="P58" s="278"/>
      <c r="Q58" s="279"/>
      <c r="R58" s="341"/>
      <c r="S58" s="276"/>
      <c r="T58" s="277"/>
      <c r="U58" s="150"/>
      <c r="V58" s="278"/>
      <c r="W58" s="279"/>
      <c r="X58" s="113"/>
    </row>
    <row r="59" spans="1:24" s="7" customFormat="1" ht="15" customHeight="1">
      <c r="A59" s="127"/>
      <c r="B59" s="263"/>
      <c r="C59" s="263"/>
      <c r="D59" s="402" t="s">
        <v>23</v>
      </c>
      <c r="E59" s="403"/>
      <c r="F59" s="403"/>
      <c r="G59" s="403"/>
      <c r="H59" s="403"/>
      <c r="I59" s="403"/>
      <c r="J59" s="403"/>
      <c r="K59" s="403"/>
      <c r="L59" s="403"/>
      <c r="M59" s="387" t="s">
        <v>23</v>
      </c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</row>
    <row r="60" spans="1:24" s="25" customFormat="1" ht="31.5">
      <c r="A60" s="72" t="s">
        <v>234</v>
      </c>
      <c r="B60" s="27" t="s">
        <v>100</v>
      </c>
      <c r="C60" s="284"/>
      <c r="D60" s="285">
        <f>SUM(D62:D64)</f>
        <v>0</v>
      </c>
      <c r="E60" s="286">
        <f>SUM(E62:E64)</f>
        <v>0</v>
      </c>
      <c r="F60" s="361">
        <f>SUM(F61:F64)</f>
        <v>0</v>
      </c>
      <c r="G60" s="264">
        <f>SUM(G61:G64)</f>
        <v>0</v>
      </c>
      <c r="H60" s="286">
        <f>SUM(H61:H64)</f>
        <v>0</v>
      </c>
      <c r="I60" s="143">
        <f>SUM(I61:I64)</f>
        <v>0</v>
      </c>
      <c r="J60" s="288"/>
      <c r="K60" s="289"/>
      <c r="L60" s="343"/>
      <c r="M60" s="264">
        <f>SUM(M61:M64)</f>
        <v>0</v>
      </c>
      <c r="N60" s="286">
        <f>SUM(N61:N64)</f>
        <v>0</v>
      </c>
      <c r="O60" s="143">
        <f>SUM(O61:O64)</f>
        <v>0</v>
      </c>
      <c r="P60" s="288"/>
      <c r="Q60" s="289"/>
      <c r="R60" s="343"/>
      <c r="S60" s="264">
        <f>SUM(S61:S64)</f>
        <v>0</v>
      </c>
      <c r="T60" s="286">
        <f>SUM(T61:T64)</f>
        <v>0</v>
      </c>
      <c r="U60" s="143">
        <f>SUM(U61:U64)</f>
        <v>0</v>
      </c>
      <c r="V60" s="288"/>
      <c r="W60" s="289"/>
      <c r="X60" s="85"/>
    </row>
    <row r="61" spans="1:24" s="13" customFormat="1" ht="15" customHeight="1">
      <c r="A61" s="72" t="s">
        <v>235</v>
      </c>
      <c r="B61" s="9" t="s">
        <v>7</v>
      </c>
      <c r="C61" s="284"/>
      <c r="D61" s="238"/>
      <c r="E61" s="239"/>
      <c r="F61" s="358">
        <f>E61-D61</f>
        <v>0</v>
      </c>
      <c r="G61" s="272"/>
      <c r="H61" s="239"/>
      <c r="I61" s="155">
        <f>H61-G61</f>
        <v>0</v>
      </c>
      <c r="J61" s="240"/>
      <c r="K61" s="241"/>
      <c r="L61" s="341"/>
      <c r="M61" s="272"/>
      <c r="N61" s="239"/>
      <c r="O61" s="155">
        <f>N61-M61</f>
        <v>0</v>
      </c>
      <c r="P61" s="240"/>
      <c r="Q61" s="241"/>
      <c r="R61" s="341"/>
      <c r="S61" s="272"/>
      <c r="T61" s="239"/>
      <c r="U61" s="155">
        <f>T61-S61</f>
        <v>0</v>
      </c>
      <c r="V61" s="240"/>
      <c r="W61" s="241"/>
      <c r="X61" s="87"/>
    </row>
    <row r="62" spans="1:24" s="21" customFormat="1" ht="15" customHeight="1">
      <c r="A62" s="72" t="s">
        <v>236</v>
      </c>
      <c r="B62" s="9" t="s">
        <v>8</v>
      </c>
      <c r="C62" s="284"/>
      <c r="D62" s="238"/>
      <c r="E62" s="239"/>
      <c r="F62" s="358">
        <f>E62-D62</f>
        <v>0</v>
      </c>
      <c r="G62" s="342"/>
      <c r="H62" s="291"/>
      <c r="I62" s="155">
        <f>H62-G62</f>
        <v>0</v>
      </c>
      <c r="J62" s="292"/>
      <c r="K62" s="293"/>
      <c r="L62" s="341"/>
      <c r="M62" s="342"/>
      <c r="N62" s="291"/>
      <c r="O62" s="155">
        <f>N62-M62</f>
        <v>0</v>
      </c>
      <c r="P62" s="292"/>
      <c r="Q62" s="293"/>
      <c r="R62" s="341"/>
      <c r="S62" s="342"/>
      <c r="T62" s="291"/>
      <c r="U62" s="155">
        <f>T62-S62</f>
        <v>0</v>
      </c>
      <c r="V62" s="292"/>
      <c r="W62" s="293"/>
      <c r="X62" s="87"/>
    </row>
    <row r="63" spans="1:24" s="13" customFormat="1" ht="15" customHeight="1">
      <c r="A63" s="72" t="s">
        <v>237</v>
      </c>
      <c r="B63" s="9" t="s">
        <v>9</v>
      </c>
      <c r="C63" s="284"/>
      <c r="D63" s="238"/>
      <c r="E63" s="239"/>
      <c r="F63" s="358">
        <f>E63-D63</f>
        <v>0</v>
      </c>
      <c r="G63" s="272"/>
      <c r="H63" s="239"/>
      <c r="I63" s="155">
        <f>H63-G63</f>
        <v>0</v>
      </c>
      <c r="J63" s="240"/>
      <c r="K63" s="241"/>
      <c r="L63" s="341"/>
      <c r="M63" s="272"/>
      <c r="N63" s="239"/>
      <c r="O63" s="155">
        <f>N63-M63</f>
        <v>0</v>
      </c>
      <c r="P63" s="240"/>
      <c r="Q63" s="241"/>
      <c r="R63" s="341"/>
      <c r="S63" s="272"/>
      <c r="T63" s="239"/>
      <c r="U63" s="155">
        <f>T63-S63</f>
        <v>0</v>
      </c>
      <c r="V63" s="240"/>
      <c r="W63" s="241"/>
      <c r="X63" s="87"/>
    </row>
    <row r="64" spans="1:24" s="13" customFormat="1" ht="15" customHeight="1">
      <c r="A64" s="72" t="s">
        <v>238</v>
      </c>
      <c r="B64" s="9" t="s">
        <v>10</v>
      </c>
      <c r="C64" s="284"/>
      <c r="D64" s="238"/>
      <c r="E64" s="239"/>
      <c r="F64" s="358">
        <f>E64-D64</f>
        <v>0</v>
      </c>
      <c r="G64" s="272"/>
      <c r="H64" s="239"/>
      <c r="I64" s="155">
        <f>H64-G64</f>
        <v>0</v>
      </c>
      <c r="J64" s="240"/>
      <c r="K64" s="241"/>
      <c r="L64" s="341"/>
      <c r="M64" s="272"/>
      <c r="N64" s="239"/>
      <c r="O64" s="155">
        <f>N64-M64</f>
        <v>0</v>
      </c>
      <c r="P64" s="240"/>
      <c r="Q64" s="241"/>
      <c r="R64" s="341"/>
      <c r="S64" s="272"/>
      <c r="T64" s="239"/>
      <c r="U64" s="155">
        <f>T64-S64</f>
        <v>0</v>
      </c>
      <c r="V64" s="240"/>
      <c r="W64" s="241"/>
      <c r="X64" s="87"/>
    </row>
    <row r="65" spans="1:24" s="13" customFormat="1" ht="15" customHeight="1">
      <c r="A65" s="75"/>
      <c r="B65" s="9"/>
      <c r="C65" s="294"/>
      <c r="D65" s="238"/>
      <c r="E65" s="239"/>
      <c r="F65" s="355"/>
      <c r="G65" s="272"/>
      <c r="H65" s="239"/>
      <c r="I65" s="140"/>
      <c r="J65" s="240"/>
      <c r="K65" s="241"/>
      <c r="L65" s="338"/>
      <c r="M65" s="272"/>
      <c r="N65" s="239"/>
      <c r="O65" s="140"/>
      <c r="P65" s="240"/>
      <c r="Q65" s="241"/>
      <c r="R65" s="338"/>
      <c r="S65" s="272"/>
      <c r="T65" s="239"/>
      <c r="U65" s="140"/>
      <c r="V65" s="240"/>
      <c r="W65" s="241"/>
      <c r="X65" s="83"/>
    </row>
    <row r="66" spans="1:24" s="7" customFormat="1" ht="15" customHeight="1">
      <c r="A66" s="126"/>
      <c r="B66" s="261"/>
      <c r="C66" s="262"/>
      <c r="D66" s="389" t="s">
        <v>15</v>
      </c>
      <c r="E66" s="390"/>
      <c r="F66" s="390"/>
      <c r="G66" s="390"/>
      <c r="H66" s="390"/>
      <c r="I66" s="390"/>
      <c r="J66" s="390"/>
      <c r="K66" s="390"/>
      <c r="L66" s="419"/>
      <c r="M66" s="390" t="s">
        <v>15</v>
      </c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</row>
    <row r="67" spans="1:24" s="25" customFormat="1" ht="36" customHeight="1">
      <c r="A67" s="72" t="s">
        <v>239</v>
      </c>
      <c r="B67" s="27" t="s">
        <v>16</v>
      </c>
      <c r="C67" s="284"/>
      <c r="D67" s="264">
        <f aca="true" t="shared" si="24" ref="D67:I67">SUM(D68:D71)</f>
        <v>1953307.4679999999</v>
      </c>
      <c r="E67" s="265">
        <f t="shared" si="24"/>
        <v>1971851.4679999999</v>
      </c>
      <c r="F67" s="361">
        <f t="shared" si="24"/>
        <v>18044</v>
      </c>
      <c r="G67" s="264">
        <f>SUM(G68:G71)</f>
        <v>285899</v>
      </c>
      <c r="H67" s="265">
        <f>SUM(H68:H71)</f>
        <v>287243</v>
      </c>
      <c r="I67" s="144">
        <f t="shared" si="24"/>
        <v>844</v>
      </c>
      <c r="J67" s="266"/>
      <c r="K67" s="267"/>
      <c r="L67" s="343"/>
      <c r="M67" s="264">
        <f>SUM(M68:M71)</f>
        <v>286899</v>
      </c>
      <c r="N67" s="265">
        <f>SUM(N68:N71)</f>
        <v>288796</v>
      </c>
      <c r="O67" s="144">
        <f>SUM(O68:O71)</f>
        <v>1897</v>
      </c>
      <c r="P67" s="266"/>
      <c r="Q67" s="267"/>
      <c r="R67" s="343"/>
      <c r="S67" s="264">
        <f>SUM(S68:S71)</f>
        <v>288899</v>
      </c>
      <c r="T67" s="265">
        <f>SUM(T68:T71)</f>
        <v>304202</v>
      </c>
      <c r="U67" s="144">
        <f>SUM(U68:U71)</f>
        <v>15303</v>
      </c>
      <c r="V67" s="266"/>
      <c r="W67" s="267"/>
      <c r="X67" s="90"/>
    </row>
    <row r="68" spans="1:24" s="13" customFormat="1" ht="15" customHeight="1">
      <c r="A68" s="72" t="s">
        <v>240</v>
      </c>
      <c r="B68" s="22" t="s">
        <v>7</v>
      </c>
      <c r="C68" s="284"/>
      <c r="D68" s="238">
        <f>SUM(D74+D85+D108+D113+D116+D134)</f>
        <v>681814.668</v>
      </c>
      <c r="E68" s="239">
        <f>SUM(E74+E85+E108+E113+E116+E134)</f>
        <v>710875.668</v>
      </c>
      <c r="F68" s="355">
        <f>SUM(F74+F85+F108+F113+F116)</f>
        <v>28561</v>
      </c>
      <c r="G68" s="272">
        <f>SUM(G74+G85+G108+G113+G116+G134)</f>
        <v>87830</v>
      </c>
      <c r="H68" s="239">
        <f>SUM(H74+H85+H108+H113+H116+H134)</f>
        <v>96151</v>
      </c>
      <c r="I68" s="140">
        <f>SUM(I74+I85+I108+I113+I116)</f>
        <v>7821</v>
      </c>
      <c r="J68" s="240"/>
      <c r="K68" s="241"/>
      <c r="L68" s="338"/>
      <c r="M68" s="272">
        <f>SUM(M74+M85+M108+M113+M116+M134)</f>
        <v>88830</v>
      </c>
      <c r="N68" s="239">
        <f>SUM(N74+N85+N108+N113+N116+N134)</f>
        <v>95400</v>
      </c>
      <c r="O68" s="140">
        <f>SUM(O74+O85+O108+O113+O116)</f>
        <v>6570</v>
      </c>
      <c r="P68" s="240"/>
      <c r="Q68" s="241"/>
      <c r="R68" s="338"/>
      <c r="S68" s="272">
        <f>SUM(S74+S85+S108+S113+S116+S134)</f>
        <v>90830</v>
      </c>
      <c r="T68" s="239">
        <f>SUM(T74+T85+T108+T113+T116+T134)</f>
        <v>105000</v>
      </c>
      <c r="U68" s="140">
        <f>SUM(U74+U85+U108+U113+U116)</f>
        <v>14170</v>
      </c>
      <c r="V68" s="240"/>
      <c r="W68" s="241"/>
      <c r="X68" s="83"/>
    </row>
    <row r="69" spans="1:24" s="13" customFormat="1" ht="15" customHeight="1">
      <c r="A69" s="72" t="s">
        <v>241</v>
      </c>
      <c r="B69" s="22" t="s">
        <v>8</v>
      </c>
      <c r="C69" s="284"/>
      <c r="D69" s="238"/>
      <c r="E69" s="239"/>
      <c r="F69" s="355"/>
      <c r="G69" s="272"/>
      <c r="H69" s="239"/>
      <c r="I69" s="140"/>
      <c r="J69" s="240"/>
      <c r="K69" s="241"/>
      <c r="L69" s="338"/>
      <c r="M69" s="272"/>
      <c r="N69" s="239"/>
      <c r="O69" s="140"/>
      <c r="P69" s="240"/>
      <c r="Q69" s="241"/>
      <c r="R69" s="338"/>
      <c r="S69" s="272"/>
      <c r="T69" s="239"/>
      <c r="U69" s="140"/>
      <c r="V69" s="240"/>
      <c r="W69" s="241"/>
      <c r="X69" s="83"/>
    </row>
    <row r="70" spans="1:24" s="13" customFormat="1" ht="15" customHeight="1">
      <c r="A70" s="72" t="s">
        <v>242</v>
      </c>
      <c r="B70" s="22" t="s">
        <v>9</v>
      </c>
      <c r="C70" s="284"/>
      <c r="D70" s="272">
        <f aca="true" t="shared" si="25" ref="D70:I70">SUM(D86+D105+D109+D117)</f>
        <v>998492.8</v>
      </c>
      <c r="E70" s="273">
        <f t="shared" si="25"/>
        <v>987975.8</v>
      </c>
      <c r="F70" s="355">
        <f t="shared" si="25"/>
        <v>-10517</v>
      </c>
      <c r="G70" s="272">
        <f t="shared" si="25"/>
        <v>157069</v>
      </c>
      <c r="H70" s="273">
        <f t="shared" si="25"/>
        <v>150092</v>
      </c>
      <c r="I70" s="145">
        <f t="shared" si="25"/>
        <v>-6977</v>
      </c>
      <c r="J70" s="274"/>
      <c r="K70" s="275"/>
      <c r="L70" s="338"/>
      <c r="M70" s="272">
        <f>SUM(M86+M105+M109+M117)</f>
        <v>157069</v>
      </c>
      <c r="N70" s="273">
        <f>SUM(N86+N105+N109+N117)</f>
        <v>152396</v>
      </c>
      <c r="O70" s="145">
        <f>SUM(O86+O105+O109+O117)</f>
        <v>-4673</v>
      </c>
      <c r="P70" s="274"/>
      <c r="Q70" s="275"/>
      <c r="R70" s="338"/>
      <c r="S70" s="272">
        <f>SUM(S86+S105+S109+S117)</f>
        <v>157069</v>
      </c>
      <c r="T70" s="273">
        <f>SUM(T86+T105+T109+T117)</f>
        <v>158202</v>
      </c>
      <c r="U70" s="145">
        <f>SUM(U86+U105+U109+U117)</f>
        <v>1133</v>
      </c>
      <c r="V70" s="274"/>
      <c r="W70" s="275"/>
      <c r="X70" s="118"/>
    </row>
    <row r="71" spans="1:24" s="13" customFormat="1" ht="15" customHeight="1">
      <c r="A71" s="72" t="s">
        <v>243</v>
      </c>
      <c r="B71" s="19" t="s">
        <v>10</v>
      </c>
      <c r="C71" s="284"/>
      <c r="D71" s="238">
        <f aca="true" t="shared" si="26" ref="D71:I71">SUM(D110)</f>
        <v>273000</v>
      </c>
      <c r="E71" s="239">
        <f t="shared" si="26"/>
        <v>273000</v>
      </c>
      <c r="F71" s="355">
        <f t="shared" si="26"/>
        <v>0</v>
      </c>
      <c r="G71" s="272">
        <f>SUM(G110)</f>
        <v>41000</v>
      </c>
      <c r="H71" s="239">
        <f>SUM(H110)</f>
        <v>41000</v>
      </c>
      <c r="I71" s="140">
        <f t="shared" si="26"/>
        <v>0</v>
      </c>
      <c r="J71" s="240"/>
      <c r="K71" s="241"/>
      <c r="L71" s="338"/>
      <c r="M71" s="272">
        <f>SUM(M110)</f>
        <v>41000</v>
      </c>
      <c r="N71" s="239">
        <f>SUM(N110)</f>
        <v>41000</v>
      </c>
      <c r="O71" s="140">
        <f>SUM(O110)</f>
        <v>0</v>
      </c>
      <c r="P71" s="240"/>
      <c r="Q71" s="241"/>
      <c r="R71" s="338"/>
      <c r="S71" s="272">
        <f>SUM(S110)</f>
        <v>41000</v>
      </c>
      <c r="T71" s="239">
        <f>SUM(T110)</f>
        <v>41000</v>
      </c>
      <c r="U71" s="140">
        <f>SUM(U110)</f>
        <v>0</v>
      </c>
      <c r="V71" s="240"/>
      <c r="W71" s="241"/>
      <c r="X71" s="83"/>
    </row>
    <row r="72" spans="1:24" s="13" customFormat="1" ht="15" customHeight="1">
      <c r="A72" s="72"/>
      <c r="B72" s="19"/>
      <c r="C72" s="284"/>
      <c r="D72" s="272"/>
      <c r="E72" s="273"/>
      <c r="F72" s="355"/>
      <c r="G72" s="272"/>
      <c r="H72" s="273"/>
      <c r="I72" s="145"/>
      <c r="J72" s="274"/>
      <c r="K72" s="275"/>
      <c r="L72" s="338"/>
      <c r="M72" s="272"/>
      <c r="N72" s="273"/>
      <c r="O72" s="145"/>
      <c r="P72" s="274"/>
      <c r="Q72" s="275"/>
      <c r="R72" s="338"/>
      <c r="S72" s="272"/>
      <c r="T72" s="273"/>
      <c r="U72" s="145"/>
      <c r="V72" s="274"/>
      <c r="W72" s="275"/>
      <c r="X72" s="118"/>
    </row>
    <row r="73" spans="1:24" s="25" customFormat="1" ht="75" customHeight="1">
      <c r="A73" s="72" t="s">
        <v>244</v>
      </c>
      <c r="B73" s="27" t="s">
        <v>104</v>
      </c>
      <c r="C73" s="280" t="s">
        <v>559</v>
      </c>
      <c r="D73" s="264">
        <f aca="true" t="shared" si="27" ref="D73:I73">D74</f>
        <v>8250</v>
      </c>
      <c r="E73" s="265">
        <f t="shared" si="27"/>
        <v>6750</v>
      </c>
      <c r="F73" s="361">
        <f t="shared" si="27"/>
        <v>-1500</v>
      </c>
      <c r="G73" s="264">
        <f>G74</f>
        <v>2000</v>
      </c>
      <c r="H73" s="265">
        <f>H74</f>
        <v>6500</v>
      </c>
      <c r="I73" s="144">
        <f t="shared" si="27"/>
        <v>4500</v>
      </c>
      <c r="J73" s="281" t="s">
        <v>561</v>
      </c>
      <c r="K73" s="282" t="s">
        <v>561</v>
      </c>
      <c r="L73" s="346" t="s">
        <v>690</v>
      </c>
      <c r="M73" s="264">
        <f>M74</f>
        <v>2000</v>
      </c>
      <c r="N73" s="265">
        <f>N74</f>
        <v>0</v>
      </c>
      <c r="O73" s="144">
        <f>O74</f>
        <v>-2000</v>
      </c>
      <c r="P73" s="281" t="s">
        <v>560</v>
      </c>
      <c r="Q73" s="282" t="s">
        <v>560</v>
      </c>
      <c r="R73" s="346" t="s">
        <v>690</v>
      </c>
      <c r="S73" s="264">
        <f>S74</f>
        <v>4000</v>
      </c>
      <c r="T73" s="265">
        <f>T74</f>
        <v>0</v>
      </c>
      <c r="U73" s="144">
        <f>U74</f>
        <v>-4000</v>
      </c>
      <c r="V73" s="281" t="s">
        <v>691</v>
      </c>
      <c r="W73" s="282" t="s">
        <v>691</v>
      </c>
      <c r="X73" s="287" t="s">
        <v>690</v>
      </c>
    </row>
    <row r="74" spans="1:24" s="13" customFormat="1" ht="15" customHeight="1">
      <c r="A74" s="72" t="s">
        <v>245</v>
      </c>
      <c r="B74" s="19" t="s">
        <v>7</v>
      </c>
      <c r="C74" s="284"/>
      <c r="D74" s="238">
        <f aca="true" t="shared" si="28" ref="D74:I74">SUM(D76:D82)</f>
        <v>8250</v>
      </c>
      <c r="E74" s="239">
        <f t="shared" si="28"/>
        <v>6750</v>
      </c>
      <c r="F74" s="355">
        <f t="shared" si="28"/>
        <v>-1500</v>
      </c>
      <c r="G74" s="272">
        <f t="shared" si="28"/>
        <v>2000</v>
      </c>
      <c r="H74" s="239">
        <f t="shared" si="28"/>
        <v>6500</v>
      </c>
      <c r="I74" s="140">
        <f t="shared" si="28"/>
        <v>4500</v>
      </c>
      <c r="J74" s="240"/>
      <c r="K74" s="241"/>
      <c r="L74" s="338"/>
      <c r="M74" s="272">
        <f>SUM(M76:M82)</f>
        <v>2000</v>
      </c>
      <c r="N74" s="239"/>
      <c r="O74" s="140">
        <f>SUM(O76:O82)</f>
        <v>-2000</v>
      </c>
      <c r="P74" s="240"/>
      <c r="Q74" s="241"/>
      <c r="R74" s="338"/>
      <c r="S74" s="272">
        <f>SUM(S76:S82)</f>
        <v>4000</v>
      </c>
      <c r="T74" s="239">
        <f>SUM(T76:T82)</f>
        <v>0</v>
      </c>
      <c r="U74" s="140">
        <f>SUM(U76:U82)</f>
        <v>-4000</v>
      </c>
      <c r="V74" s="240"/>
      <c r="W74" s="241"/>
      <c r="X74" s="83"/>
    </row>
    <row r="75" spans="1:24" s="21" customFormat="1" ht="15" customHeight="1">
      <c r="A75" s="72"/>
      <c r="B75" s="22" t="s">
        <v>19</v>
      </c>
      <c r="C75" s="295"/>
      <c r="D75" s="290"/>
      <c r="E75" s="291"/>
      <c r="F75" s="364"/>
      <c r="G75" s="342"/>
      <c r="H75" s="291"/>
      <c r="I75" s="147"/>
      <c r="J75" s="292"/>
      <c r="K75" s="293"/>
      <c r="L75" s="345"/>
      <c r="M75" s="342"/>
      <c r="N75" s="291"/>
      <c r="O75" s="147"/>
      <c r="P75" s="292"/>
      <c r="Q75" s="293"/>
      <c r="R75" s="345"/>
      <c r="S75" s="342"/>
      <c r="T75" s="291"/>
      <c r="U75" s="147"/>
      <c r="V75" s="292"/>
      <c r="W75" s="293"/>
      <c r="X75" s="114"/>
    </row>
    <row r="76" spans="1:24" s="13" customFormat="1" ht="15" customHeight="1">
      <c r="A76" s="72" t="s">
        <v>246</v>
      </c>
      <c r="B76" s="175" t="s">
        <v>66</v>
      </c>
      <c r="C76" s="294"/>
      <c r="D76" s="238">
        <v>250</v>
      </c>
      <c r="E76" s="239">
        <v>250</v>
      </c>
      <c r="F76" s="355">
        <f aca="true" t="shared" si="29" ref="F76:F82">E76-D76</f>
        <v>0</v>
      </c>
      <c r="G76" s="272"/>
      <c r="H76" s="239"/>
      <c r="I76" s="140">
        <f aca="true" t="shared" si="30" ref="I76:I82">H76-G76</f>
        <v>0</v>
      </c>
      <c r="J76" s="240"/>
      <c r="K76" s="241"/>
      <c r="L76" s="338"/>
      <c r="M76" s="272"/>
      <c r="N76" s="239"/>
      <c r="O76" s="140">
        <f aca="true" t="shared" si="31" ref="O76:O82">N76-M76</f>
        <v>0</v>
      </c>
      <c r="P76" s="240"/>
      <c r="Q76" s="241"/>
      <c r="R76" s="338"/>
      <c r="S76" s="272"/>
      <c r="T76" s="239"/>
      <c r="U76" s="140">
        <f aca="true" t="shared" si="32" ref="U76:U82">T76-S76</f>
        <v>0</v>
      </c>
      <c r="V76" s="240"/>
      <c r="W76" s="241"/>
      <c r="X76" s="83"/>
    </row>
    <row r="77" spans="1:24" s="13" customFormat="1" ht="15" customHeight="1">
      <c r="A77" s="72" t="s">
        <v>247</v>
      </c>
      <c r="B77" s="22" t="s">
        <v>26</v>
      </c>
      <c r="C77" s="284"/>
      <c r="D77" s="238">
        <v>2000</v>
      </c>
      <c r="E77" s="239">
        <v>2500</v>
      </c>
      <c r="F77" s="355">
        <f t="shared" si="29"/>
        <v>500</v>
      </c>
      <c r="G77" s="272">
        <v>2000</v>
      </c>
      <c r="H77" s="239">
        <v>2500</v>
      </c>
      <c r="I77" s="140">
        <f t="shared" si="30"/>
        <v>500</v>
      </c>
      <c r="J77" s="240"/>
      <c r="K77" s="241"/>
      <c r="L77" s="338"/>
      <c r="M77" s="272"/>
      <c r="N77" s="239"/>
      <c r="O77" s="140">
        <f t="shared" si="31"/>
        <v>0</v>
      </c>
      <c r="P77" s="240"/>
      <c r="Q77" s="241"/>
      <c r="R77" s="338"/>
      <c r="S77" s="272"/>
      <c r="T77" s="239"/>
      <c r="U77" s="140">
        <f t="shared" si="32"/>
        <v>0</v>
      </c>
      <c r="V77" s="240"/>
      <c r="W77" s="241"/>
      <c r="X77" s="83"/>
    </row>
    <row r="78" spans="1:24" s="13" customFormat="1" ht="15" customHeight="1">
      <c r="A78" s="72" t="s">
        <v>248</v>
      </c>
      <c r="B78" s="22" t="s">
        <v>492</v>
      </c>
      <c r="C78" s="284"/>
      <c r="D78" s="238"/>
      <c r="E78" s="239">
        <v>2000</v>
      </c>
      <c r="F78" s="355">
        <f t="shared" si="29"/>
        <v>2000</v>
      </c>
      <c r="G78" s="272"/>
      <c r="H78" s="239">
        <v>2000</v>
      </c>
      <c r="I78" s="140">
        <f t="shared" si="30"/>
        <v>2000</v>
      </c>
      <c r="J78" s="240"/>
      <c r="K78" s="241"/>
      <c r="L78" s="338"/>
      <c r="M78" s="272"/>
      <c r="N78" s="239"/>
      <c r="O78" s="140">
        <f t="shared" si="31"/>
        <v>0</v>
      </c>
      <c r="P78" s="240"/>
      <c r="Q78" s="241"/>
      <c r="R78" s="338"/>
      <c r="S78" s="272"/>
      <c r="T78" s="239"/>
      <c r="U78" s="140">
        <f t="shared" si="32"/>
        <v>0</v>
      </c>
      <c r="V78" s="240"/>
      <c r="W78" s="241"/>
      <c r="X78" s="83"/>
    </row>
    <row r="79" spans="1:24" s="13" customFormat="1" ht="15" customHeight="1">
      <c r="A79" s="72" t="s">
        <v>249</v>
      </c>
      <c r="B79" s="22" t="s">
        <v>494</v>
      </c>
      <c r="C79" s="284"/>
      <c r="D79" s="238">
        <v>2000</v>
      </c>
      <c r="E79" s="239"/>
      <c r="F79" s="355">
        <f t="shared" si="29"/>
        <v>-2000</v>
      </c>
      <c r="G79" s="272"/>
      <c r="H79" s="239"/>
      <c r="I79" s="140">
        <f t="shared" si="30"/>
        <v>0</v>
      </c>
      <c r="J79" s="240"/>
      <c r="K79" s="241"/>
      <c r="L79" s="338"/>
      <c r="M79" s="272"/>
      <c r="N79" s="239"/>
      <c r="O79" s="140">
        <f t="shared" si="31"/>
        <v>0</v>
      </c>
      <c r="P79" s="240"/>
      <c r="Q79" s="241"/>
      <c r="R79" s="338"/>
      <c r="S79" s="272">
        <v>2000</v>
      </c>
      <c r="T79" s="239"/>
      <c r="U79" s="140">
        <f t="shared" si="32"/>
        <v>-2000</v>
      </c>
      <c r="V79" s="240"/>
      <c r="W79" s="241"/>
      <c r="X79" s="83"/>
    </row>
    <row r="80" spans="1:24" s="13" customFormat="1" ht="15" customHeight="1">
      <c r="A80" s="72" t="s">
        <v>250</v>
      </c>
      <c r="B80" s="22" t="s">
        <v>172</v>
      </c>
      <c r="C80" s="284"/>
      <c r="D80" s="238">
        <v>2000</v>
      </c>
      <c r="E80" s="239"/>
      <c r="F80" s="355">
        <f t="shared" si="29"/>
        <v>-2000</v>
      </c>
      <c r="G80" s="272"/>
      <c r="H80" s="239"/>
      <c r="I80" s="140">
        <f t="shared" si="30"/>
        <v>0</v>
      </c>
      <c r="J80" s="240"/>
      <c r="K80" s="241"/>
      <c r="L80" s="338"/>
      <c r="M80" s="272">
        <v>2000</v>
      </c>
      <c r="N80" s="239"/>
      <c r="O80" s="140">
        <f t="shared" si="31"/>
        <v>-2000</v>
      </c>
      <c r="P80" s="240"/>
      <c r="Q80" s="241"/>
      <c r="R80" s="338"/>
      <c r="S80" s="272"/>
      <c r="T80" s="239"/>
      <c r="U80" s="140">
        <f t="shared" si="32"/>
        <v>0</v>
      </c>
      <c r="V80" s="240"/>
      <c r="W80" s="241"/>
      <c r="X80" s="83"/>
    </row>
    <row r="81" spans="1:24" s="13" customFormat="1" ht="15" customHeight="1">
      <c r="A81" s="72" t="s">
        <v>251</v>
      </c>
      <c r="B81" s="22" t="s">
        <v>72</v>
      </c>
      <c r="C81" s="284"/>
      <c r="D81" s="238">
        <v>2000</v>
      </c>
      <c r="E81" s="239"/>
      <c r="F81" s="355">
        <f t="shared" si="29"/>
        <v>-2000</v>
      </c>
      <c r="G81" s="272"/>
      <c r="H81" s="239"/>
      <c r="I81" s="140">
        <f t="shared" si="30"/>
        <v>0</v>
      </c>
      <c r="J81" s="240"/>
      <c r="K81" s="241"/>
      <c r="L81" s="338"/>
      <c r="M81" s="272"/>
      <c r="N81" s="239"/>
      <c r="O81" s="140">
        <f t="shared" si="31"/>
        <v>0</v>
      </c>
      <c r="P81" s="240"/>
      <c r="Q81" s="241"/>
      <c r="R81" s="338"/>
      <c r="S81" s="272">
        <v>2000</v>
      </c>
      <c r="T81" s="239"/>
      <c r="U81" s="140">
        <f t="shared" si="32"/>
        <v>-2000</v>
      </c>
      <c r="V81" s="240"/>
      <c r="W81" s="241"/>
      <c r="X81" s="83"/>
    </row>
    <row r="82" spans="1:24" s="13" customFormat="1" ht="15" customHeight="1">
      <c r="A82" s="72" t="s">
        <v>252</v>
      </c>
      <c r="B82" s="22" t="s">
        <v>493</v>
      </c>
      <c r="C82" s="284"/>
      <c r="D82" s="238"/>
      <c r="E82" s="239">
        <v>2000</v>
      </c>
      <c r="F82" s="355">
        <f t="shared" si="29"/>
        <v>2000</v>
      </c>
      <c r="G82" s="272"/>
      <c r="H82" s="239">
        <v>2000</v>
      </c>
      <c r="I82" s="140">
        <f t="shared" si="30"/>
        <v>2000</v>
      </c>
      <c r="J82" s="240"/>
      <c r="K82" s="241"/>
      <c r="L82" s="338"/>
      <c r="M82" s="272"/>
      <c r="N82" s="239"/>
      <c r="O82" s="140">
        <f t="shared" si="31"/>
        <v>0</v>
      </c>
      <c r="P82" s="240"/>
      <c r="Q82" s="241"/>
      <c r="R82" s="338"/>
      <c r="S82" s="272"/>
      <c r="T82" s="239"/>
      <c r="U82" s="140">
        <f t="shared" si="32"/>
        <v>0</v>
      </c>
      <c r="V82" s="240"/>
      <c r="W82" s="241"/>
      <c r="X82" s="83"/>
    </row>
    <row r="83" spans="1:24" s="13" customFormat="1" ht="15" customHeight="1">
      <c r="A83" s="72"/>
      <c r="B83" s="175"/>
      <c r="C83" s="284"/>
      <c r="D83" s="272"/>
      <c r="E83" s="273"/>
      <c r="F83" s="355"/>
      <c r="G83" s="272"/>
      <c r="H83" s="273"/>
      <c r="I83" s="145"/>
      <c r="J83" s="274"/>
      <c r="K83" s="275"/>
      <c r="L83" s="338"/>
      <c r="M83" s="272"/>
      <c r="N83" s="273"/>
      <c r="O83" s="145"/>
      <c r="P83" s="274"/>
      <c r="Q83" s="275"/>
      <c r="R83" s="338"/>
      <c r="S83" s="272"/>
      <c r="T83" s="273"/>
      <c r="U83" s="145"/>
      <c r="V83" s="274"/>
      <c r="W83" s="275"/>
      <c r="X83" s="118"/>
    </row>
    <row r="84" spans="1:24" s="25" customFormat="1" ht="174" customHeight="1">
      <c r="A84" s="72" t="s">
        <v>253</v>
      </c>
      <c r="B84" s="27" t="s">
        <v>105</v>
      </c>
      <c r="C84" s="280" t="s">
        <v>562</v>
      </c>
      <c r="D84" s="264">
        <f aca="true" t="shared" si="33" ref="D84:I84">SUM(D85:D86)</f>
        <v>7935.478999999999</v>
      </c>
      <c r="E84" s="265">
        <f t="shared" si="33"/>
        <v>30227.479</v>
      </c>
      <c r="F84" s="361">
        <f t="shared" si="33"/>
        <v>22292</v>
      </c>
      <c r="G84" s="264">
        <f>SUM(G85:G86)</f>
        <v>1000</v>
      </c>
      <c r="H84" s="265">
        <f>SUM(H85:H86)</f>
        <v>4671</v>
      </c>
      <c r="I84" s="144">
        <f t="shared" si="33"/>
        <v>3671</v>
      </c>
      <c r="J84" s="281" t="s">
        <v>563</v>
      </c>
      <c r="K84" s="282" t="s">
        <v>563</v>
      </c>
      <c r="L84" s="344" t="s">
        <v>692</v>
      </c>
      <c r="M84" s="264">
        <f>SUM(M85:M86)</f>
        <v>2000</v>
      </c>
      <c r="N84" s="265">
        <f>SUM(N85:N86)</f>
        <v>7621</v>
      </c>
      <c r="O84" s="144">
        <f>SUM(O85:O86)</f>
        <v>5621</v>
      </c>
      <c r="P84" s="281" t="s">
        <v>564</v>
      </c>
      <c r="Q84" s="282" t="s">
        <v>564</v>
      </c>
      <c r="R84" s="344" t="s">
        <v>692</v>
      </c>
      <c r="S84" s="264">
        <f>SUM(S85:S86)</f>
        <v>2000</v>
      </c>
      <c r="T84" s="265">
        <f>SUM(T85:T86)</f>
        <v>15000</v>
      </c>
      <c r="U84" s="144">
        <f>SUM(U85:U86)</f>
        <v>13000</v>
      </c>
      <c r="V84" s="281" t="s">
        <v>693</v>
      </c>
      <c r="W84" s="282" t="s">
        <v>693</v>
      </c>
      <c r="X84" s="283" t="s">
        <v>692</v>
      </c>
    </row>
    <row r="85" spans="1:24" s="13" customFormat="1" ht="15" customHeight="1">
      <c r="A85" s="72" t="s">
        <v>254</v>
      </c>
      <c r="B85" s="22" t="s">
        <v>7</v>
      </c>
      <c r="C85" s="284"/>
      <c r="D85" s="272">
        <f>SUM(D88:D103)</f>
        <v>7935.478999999999</v>
      </c>
      <c r="E85" s="273">
        <f>SUM(E88:E103)</f>
        <v>30227.479</v>
      </c>
      <c r="F85" s="355">
        <f>E85-D85</f>
        <v>22292</v>
      </c>
      <c r="G85" s="272">
        <f>SUM(G88:G103)</f>
        <v>1000</v>
      </c>
      <c r="H85" s="273">
        <f>SUM(H88:H103)</f>
        <v>4671</v>
      </c>
      <c r="I85" s="145">
        <f>H85-G85</f>
        <v>3671</v>
      </c>
      <c r="J85" s="274"/>
      <c r="K85" s="275"/>
      <c r="L85" s="338"/>
      <c r="M85" s="272">
        <f>SUM(M88:M103)</f>
        <v>2000</v>
      </c>
      <c r="N85" s="273">
        <f>SUM(N88:N103)</f>
        <v>7621</v>
      </c>
      <c r="O85" s="145">
        <f>N85-M85</f>
        <v>5621</v>
      </c>
      <c r="P85" s="274"/>
      <c r="Q85" s="275"/>
      <c r="R85" s="338"/>
      <c r="S85" s="272">
        <f>SUM(S88:S103)</f>
        <v>2000</v>
      </c>
      <c r="T85" s="273">
        <f>SUM(T88:T103)</f>
        <v>15000</v>
      </c>
      <c r="U85" s="145">
        <f>T85-S85</f>
        <v>13000</v>
      </c>
      <c r="V85" s="274"/>
      <c r="W85" s="275"/>
      <c r="X85" s="118"/>
    </row>
    <row r="86" spans="1:24" s="13" customFormat="1" ht="15" customHeight="1">
      <c r="A86" s="72" t="s">
        <v>255</v>
      </c>
      <c r="B86" s="22" t="s">
        <v>9</v>
      </c>
      <c r="C86" s="284"/>
      <c r="D86" s="272"/>
      <c r="E86" s="273"/>
      <c r="F86" s="355"/>
      <c r="G86" s="272"/>
      <c r="H86" s="273"/>
      <c r="I86" s="145"/>
      <c r="J86" s="274"/>
      <c r="K86" s="275"/>
      <c r="L86" s="338"/>
      <c r="M86" s="272"/>
      <c r="N86" s="273"/>
      <c r="O86" s="145"/>
      <c r="P86" s="274"/>
      <c r="Q86" s="275"/>
      <c r="R86" s="338"/>
      <c r="S86" s="272"/>
      <c r="T86" s="273"/>
      <c r="U86" s="145"/>
      <c r="V86" s="274"/>
      <c r="W86" s="275"/>
      <c r="X86" s="118"/>
    </row>
    <row r="87" spans="1:24" s="21" customFormat="1" ht="15.75">
      <c r="A87" s="74"/>
      <c r="B87" s="22" t="s">
        <v>20</v>
      </c>
      <c r="C87" s="295"/>
      <c r="D87" s="290"/>
      <c r="E87" s="291"/>
      <c r="F87" s="364"/>
      <c r="G87" s="342"/>
      <c r="H87" s="291"/>
      <c r="I87" s="147"/>
      <c r="J87" s="292"/>
      <c r="K87" s="293"/>
      <c r="L87" s="345"/>
      <c r="M87" s="342"/>
      <c r="N87" s="291"/>
      <c r="O87" s="147"/>
      <c r="P87" s="292"/>
      <c r="Q87" s="293"/>
      <c r="R87" s="345"/>
      <c r="S87" s="342"/>
      <c r="T87" s="291"/>
      <c r="U87" s="147"/>
      <c r="V87" s="292"/>
      <c r="W87" s="293"/>
      <c r="X87" s="114"/>
    </row>
    <row r="88" spans="1:24" s="13" customFormat="1" ht="15.75">
      <c r="A88" s="72" t="s">
        <v>256</v>
      </c>
      <c r="B88" s="22" t="s">
        <v>27</v>
      </c>
      <c r="C88" s="284"/>
      <c r="D88" s="238">
        <v>2144</v>
      </c>
      <c r="E88" s="239">
        <v>144</v>
      </c>
      <c r="F88" s="355">
        <f aca="true" t="shared" si="34" ref="F88:F96">E88-D88</f>
        <v>-2000</v>
      </c>
      <c r="G88" s="272"/>
      <c r="H88" s="239"/>
      <c r="I88" s="140">
        <f>H88-G88</f>
        <v>0</v>
      </c>
      <c r="J88" s="240"/>
      <c r="K88" s="241"/>
      <c r="L88" s="338"/>
      <c r="M88" s="272"/>
      <c r="N88" s="239"/>
      <c r="O88" s="140">
        <f>N88-M88</f>
        <v>0</v>
      </c>
      <c r="P88" s="240"/>
      <c r="Q88" s="241"/>
      <c r="R88" s="338"/>
      <c r="S88" s="272">
        <v>2000</v>
      </c>
      <c r="T88" s="239"/>
      <c r="U88" s="140">
        <f>T88-S88</f>
        <v>-2000</v>
      </c>
      <c r="V88" s="240"/>
      <c r="W88" s="241"/>
      <c r="X88" s="83"/>
    </row>
    <row r="89" spans="1:24" s="13" customFormat="1" ht="15" customHeight="1">
      <c r="A89" s="72" t="s">
        <v>257</v>
      </c>
      <c r="B89" s="22" t="s">
        <v>721</v>
      </c>
      <c r="C89" s="284"/>
      <c r="D89" s="238">
        <v>2000</v>
      </c>
      <c r="E89" s="239">
        <v>4400</v>
      </c>
      <c r="F89" s="355">
        <f t="shared" si="34"/>
        <v>2400</v>
      </c>
      <c r="G89" s="272"/>
      <c r="H89" s="239"/>
      <c r="I89" s="140">
        <f>H89-G89</f>
        <v>0</v>
      </c>
      <c r="J89" s="240"/>
      <c r="K89" s="241"/>
      <c r="L89" s="338"/>
      <c r="M89" s="272">
        <v>2000</v>
      </c>
      <c r="N89" s="239"/>
      <c r="O89" s="140">
        <f>N89-M89</f>
        <v>-2000</v>
      </c>
      <c r="P89" s="240"/>
      <c r="Q89" s="241"/>
      <c r="R89" s="338"/>
      <c r="S89" s="272"/>
      <c r="T89" s="239">
        <v>4400</v>
      </c>
      <c r="U89" s="140">
        <f aca="true" t="shared" si="35" ref="U89:U96">T89-S89</f>
        <v>4400</v>
      </c>
      <c r="V89" s="240"/>
      <c r="W89" s="241"/>
      <c r="X89" s="83"/>
    </row>
    <row r="90" spans="1:24" s="13" customFormat="1" ht="15" customHeight="1">
      <c r="A90" s="72" t="s">
        <v>258</v>
      </c>
      <c r="B90" s="22" t="s">
        <v>496</v>
      </c>
      <c r="C90" s="284"/>
      <c r="D90" s="238"/>
      <c r="E90" s="239">
        <v>4600.17</v>
      </c>
      <c r="F90" s="355">
        <f t="shared" si="34"/>
        <v>4600.17</v>
      </c>
      <c r="G90" s="272"/>
      <c r="H90" s="239">
        <v>2100.17</v>
      </c>
      <c r="I90" s="140">
        <f aca="true" t="shared" si="36" ref="I90:I96">H90-G90</f>
        <v>2100.17</v>
      </c>
      <c r="J90" s="240"/>
      <c r="K90" s="241"/>
      <c r="L90" s="338"/>
      <c r="M90" s="272"/>
      <c r="N90" s="239"/>
      <c r="O90" s="140">
        <f aca="true" t="shared" si="37" ref="O90:O96">N90-M90</f>
        <v>0</v>
      </c>
      <c r="P90" s="240"/>
      <c r="Q90" s="241"/>
      <c r="R90" s="338"/>
      <c r="S90" s="272"/>
      <c r="T90" s="239">
        <v>2500</v>
      </c>
      <c r="U90" s="140">
        <f t="shared" si="35"/>
        <v>2500</v>
      </c>
      <c r="V90" s="240"/>
      <c r="W90" s="241"/>
      <c r="X90" s="83"/>
    </row>
    <row r="91" spans="1:24" s="13" customFormat="1" ht="15" customHeight="1">
      <c r="A91" s="72" t="s">
        <v>259</v>
      </c>
      <c r="B91" s="22" t="s">
        <v>498</v>
      </c>
      <c r="C91" s="284"/>
      <c r="D91" s="238"/>
      <c r="E91" s="239">
        <v>8170.83</v>
      </c>
      <c r="F91" s="355">
        <f t="shared" si="34"/>
        <v>8170.83</v>
      </c>
      <c r="G91" s="272"/>
      <c r="H91" s="239">
        <v>2170.83</v>
      </c>
      <c r="I91" s="140">
        <f t="shared" si="36"/>
        <v>2170.83</v>
      </c>
      <c r="J91" s="240"/>
      <c r="K91" s="241"/>
      <c r="L91" s="338"/>
      <c r="M91" s="272"/>
      <c r="N91" s="239">
        <v>6000</v>
      </c>
      <c r="O91" s="140">
        <f t="shared" si="37"/>
        <v>6000</v>
      </c>
      <c r="P91" s="240"/>
      <c r="Q91" s="241"/>
      <c r="R91" s="338"/>
      <c r="S91" s="272"/>
      <c r="T91" s="239"/>
      <c r="U91" s="140">
        <f t="shared" si="35"/>
        <v>0</v>
      </c>
      <c r="V91" s="240"/>
      <c r="W91" s="241"/>
      <c r="X91" s="83"/>
    </row>
    <row r="92" spans="1:24" s="13" customFormat="1" ht="15" customHeight="1">
      <c r="A92" s="72" t="s">
        <v>260</v>
      </c>
      <c r="B92" s="22" t="s">
        <v>73</v>
      </c>
      <c r="C92" s="284"/>
      <c r="D92" s="238">
        <v>2441.479</v>
      </c>
      <c r="E92" s="239">
        <v>2441.479</v>
      </c>
      <c r="F92" s="355">
        <f t="shared" si="34"/>
        <v>0</v>
      </c>
      <c r="G92" s="272"/>
      <c r="H92" s="239"/>
      <c r="I92" s="140">
        <f t="shared" si="36"/>
        <v>0</v>
      </c>
      <c r="J92" s="240"/>
      <c r="K92" s="241"/>
      <c r="L92" s="338"/>
      <c r="M92" s="272"/>
      <c r="N92" s="239"/>
      <c r="O92" s="140">
        <f t="shared" si="37"/>
        <v>0</v>
      </c>
      <c r="P92" s="240"/>
      <c r="Q92" s="241"/>
      <c r="R92" s="338"/>
      <c r="S92" s="272"/>
      <c r="T92" s="239"/>
      <c r="U92" s="140">
        <f t="shared" si="35"/>
        <v>0</v>
      </c>
      <c r="V92" s="240"/>
      <c r="W92" s="241"/>
      <c r="X92" s="83"/>
    </row>
    <row r="93" spans="1:24" s="13" customFormat="1" ht="15" customHeight="1">
      <c r="A93" s="72" t="s">
        <v>261</v>
      </c>
      <c r="B93" s="65" t="s">
        <v>170</v>
      </c>
      <c r="C93" s="284"/>
      <c r="D93" s="238">
        <v>1000</v>
      </c>
      <c r="E93" s="239"/>
      <c r="F93" s="355">
        <f t="shared" si="34"/>
        <v>-1000</v>
      </c>
      <c r="G93" s="272">
        <v>1000</v>
      </c>
      <c r="H93" s="239"/>
      <c r="I93" s="140">
        <f t="shared" si="36"/>
        <v>-1000</v>
      </c>
      <c r="J93" s="240"/>
      <c r="K93" s="241"/>
      <c r="L93" s="338"/>
      <c r="M93" s="272"/>
      <c r="N93" s="239"/>
      <c r="O93" s="140">
        <f t="shared" si="37"/>
        <v>0</v>
      </c>
      <c r="P93" s="240"/>
      <c r="Q93" s="241"/>
      <c r="R93" s="338"/>
      <c r="S93" s="272"/>
      <c r="T93" s="239"/>
      <c r="U93" s="140">
        <f t="shared" si="35"/>
        <v>0</v>
      </c>
      <c r="V93" s="240"/>
      <c r="W93" s="241"/>
      <c r="X93" s="83"/>
    </row>
    <row r="94" spans="1:24" s="13" customFormat="1" ht="15" customHeight="1">
      <c r="A94" s="72" t="s">
        <v>262</v>
      </c>
      <c r="B94" s="65" t="s">
        <v>497</v>
      </c>
      <c r="C94" s="284"/>
      <c r="D94" s="238"/>
      <c r="E94" s="239">
        <v>1000</v>
      </c>
      <c r="F94" s="355">
        <f t="shared" si="34"/>
        <v>1000</v>
      </c>
      <c r="G94" s="272"/>
      <c r="H94" s="239"/>
      <c r="I94" s="140">
        <f t="shared" si="36"/>
        <v>0</v>
      </c>
      <c r="J94" s="240"/>
      <c r="K94" s="241"/>
      <c r="L94" s="338"/>
      <c r="M94" s="272"/>
      <c r="N94" s="239"/>
      <c r="O94" s="140">
        <f t="shared" si="37"/>
        <v>0</v>
      </c>
      <c r="P94" s="240"/>
      <c r="Q94" s="241"/>
      <c r="R94" s="338"/>
      <c r="S94" s="272"/>
      <c r="T94" s="239">
        <v>1000</v>
      </c>
      <c r="U94" s="140">
        <f t="shared" si="35"/>
        <v>1000</v>
      </c>
      <c r="V94" s="240"/>
      <c r="W94" s="241"/>
      <c r="X94" s="83"/>
    </row>
    <row r="95" spans="1:24" s="13" customFormat="1" ht="15" customHeight="1">
      <c r="A95" s="72" t="s">
        <v>263</v>
      </c>
      <c r="B95" s="65" t="s">
        <v>499</v>
      </c>
      <c r="C95" s="284"/>
      <c r="D95" s="238"/>
      <c r="E95" s="239">
        <v>6000</v>
      </c>
      <c r="F95" s="355">
        <f t="shared" si="34"/>
        <v>6000</v>
      </c>
      <c r="G95" s="272"/>
      <c r="H95" s="239"/>
      <c r="I95" s="140">
        <f t="shared" si="36"/>
        <v>0</v>
      </c>
      <c r="J95" s="240"/>
      <c r="K95" s="241"/>
      <c r="L95" s="338"/>
      <c r="M95" s="272"/>
      <c r="N95" s="239"/>
      <c r="O95" s="140">
        <f t="shared" si="37"/>
        <v>0</v>
      </c>
      <c r="P95" s="240"/>
      <c r="Q95" s="241"/>
      <c r="R95" s="338"/>
      <c r="S95" s="272"/>
      <c r="T95" s="239">
        <v>6000</v>
      </c>
      <c r="U95" s="140">
        <f t="shared" si="35"/>
        <v>6000</v>
      </c>
      <c r="V95" s="240"/>
      <c r="W95" s="241"/>
      <c r="X95" s="83"/>
    </row>
    <row r="96" spans="1:24" s="13" customFormat="1" ht="15" customHeight="1">
      <c r="A96" s="72" t="s">
        <v>264</v>
      </c>
      <c r="B96" s="65" t="s">
        <v>500</v>
      </c>
      <c r="C96" s="284"/>
      <c r="D96" s="238"/>
      <c r="E96" s="239">
        <v>1100</v>
      </c>
      <c r="F96" s="355">
        <f t="shared" si="34"/>
        <v>1100</v>
      </c>
      <c r="G96" s="272"/>
      <c r="H96" s="239"/>
      <c r="I96" s="140">
        <f t="shared" si="36"/>
        <v>0</v>
      </c>
      <c r="J96" s="240"/>
      <c r="K96" s="241"/>
      <c r="L96" s="338"/>
      <c r="M96" s="272"/>
      <c r="N96" s="239"/>
      <c r="O96" s="140">
        <f t="shared" si="37"/>
        <v>0</v>
      </c>
      <c r="P96" s="240"/>
      <c r="Q96" s="241"/>
      <c r="R96" s="338"/>
      <c r="S96" s="272"/>
      <c r="T96" s="239">
        <v>1100</v>
      </c>
      <c r="U96" s="140">
        <f t="shared" si="35"/>
        <v>1100</v>
      </c>
      <c r="V96" s="240"/>
      <c r="W96" s="241"/>
      <c r="X96" s="83"/>
    </row>
    <row r="97" spans="1:24" s="13" customFormat="1" ht="35.25" customHeight="1">
      <c r="A97" s="72"/>
      <c r="B97" s="22" t="s">
        <v>63</v>
      </c>
      <c r="C97" s="284"/>
      <c r="D97" s="238"/>
      <c r="E97" s="239"/>
      <c r="F97" s="355"/>
      <c r="G97" s="272"/>
      <c r="H97" s="239"/>
      <c r="I97" s="140"/>
      <c r="J97" s="240"/>
      <c r="K97" s="241"/>
      <c r="L97" s="338"/>
      <c r="M97" s="272"/>
      <c r="N97" s="239"/>
      <c r="O97" s="140"/>
      <c r="P97" s="240"/>
      <c r="Q97" s="241"/>
      <c r="R97" s="338"/>
      <c r="S97" s="272"/>
      <c r="T97" s="239"/>
      <c r="U97" s="140"/>
      <c r="V97" s="240"/>
      <c r="W97" s="241"/>
      <c r="X97" s="83"/>
    </row>
    <row r="98" spans="1:24" s="13" customFormat="1" ht="15" customHeight="1">
      <c r="A98" s="72" t="s">
        <v>265</v>
      </c>
      <c r="B98" s="19" t="s">
        <v>171</v>
      </c>
      <c r="C98" s="284"/>
      <c r="D98" s="238">
        <v>250</v>
      </c>
      <c r="E98" s="239">
        <v>800</v>
      </c>
      <c r="F98" s="355">
        <f>E98-D98</f>
        <v>550</v>
      </c>
      <c r="G98" s="272"/>
      <c r="H98" s="239">
        <v>250</v>
      </c>
      <c r="I98" s="140">
        <f>H98-G98</f>
        <v>250</v>
      </c>
      <c r="J98" s="240"/>
      <c r="K98" s="241"/>
      <c r="L98" s="338"/>
      <c r="M98" s="272"/>
      <c r="N98" s="239">
        <v>300</v>
      </c>
      <c r="O98" s="140">
        <f>N98-M98</f>
        <v>300</v>
      </c>
      <c r="P98" s="240"/>
      <c r="Q98" s="241"/>
      <c r="R98" s="338"/>
      <c r="S98" s="272"/>
      <c r="T98" s="239"/>
      <c r="U98" s="140">
        <f aca="true" t="shared" si="38" ref="U98:U103">T98-S98</f>
        <v>0</v>
      </c>
      <c r="V98" s="240"/>
      <c r="W98" s="241"/>
      <c r="X98" s="83"/>
    </row>
    <row r="99" spans="1:24" s="13" customFormat="1" ht="15" customHeight="1">
      <c r="A99" s="72" t="s">
        <v>266</v>
      </c>
      <c r="B99" s="19" t="s">
        <v>492</v>
      </c>
      <c r="C99" s="284"/>
      <c r="D99" s="238"/>
      <c r="E99" s="239">
        <v>1013.5</v>
      </c>
      <c r="F99" s="355">
        <f>E99-D99</f>
        <v>1013.5</v>
      </c>
      <c r="G99" s="272"/>
      <c r="H99" s="239"/>
      <c r="I99" s="140">
        <f>H99-G99</f>
        <v>0</v>
      </c>
      <c r="J99" s="240"/>
      <c r="K99" s="241"/>
      <c r="L99" s="338"/>
      <c r="M99" s="272"/>
      <c r="N99" s="239">
        <v>1013.5</v>
      </c>
      <c r="O99" s="140">
        <f>N99-M99</f>
        <v>1013.5</v>
      </c>
      <c r="P99" s="240"/>
      <c r="Q99" s="241"/>
      <c r="R99" s="338"/>
      <c r="S99" s="272"/>
      <c r="T99" s="239"/>
      <c r="U99" s="140">
        <f t="shared" si="38"/>
        <v>0</v>
      </c>
      <c r="V99" s="240"/>
      <c r="W99" s="241"/>
      <c r="X99" s="83"/>
    </row>
    <row r="100" spans="1:24" s="13" customFormat="1" ht="15" customHeight="1">
      <c r="A100" s="72" t="s">
        <v>267</v>
      </c>
      <c r="B100" s="19" t="s">
        <v>172</v>
      </c>
      <c r="C100" s="284"/>
      <c r="D100" s="238">
        <v>100</v>
      </c>
      <c r="E100" s="239">
        <v>100</v>
      </c>
      <c r="F100" s="355">
        <f>E100-D100</f>
        <v>0</v>
      </c>
      <c r="G100" s="272"/>
      <c r="H100" s="239"/>
      <c r="I100" s="140">
        <f>H100-G100</f>
        <v>0</v>
      </c>
      <c r="J100" s="240"/>
      <c r="K100" s="241"/>
      <c r="L100" s="338"/>
      <c r="M100" s="272"/>
      <c r="N100" s="239"/>
      <c r="O100" s="140">
        <f>N100-M100</f>
        <v>0</v>
      </c>
      <c r="P100" s="240"/>
      <c r="Q100" s="241"/>
      <c r="R100" s="338"/>
      <c r="S100" s="272"/>
      <c r="T100" s="239"/>
      <c r="U100" s="140">
        <f t="shared" si="38"/>
        <v>0</v>
      </c>
      <c r="V100" s="240"/>
      <c r="W100" s="241"/>
      <c r="X100" s="83"/>
    </row>
    <row r="101" spans="1:24" s="13" customFormat="1" ht="15" customHeight="1">
      <c r="A101" s="72" t="s">
        <v>268</v>
      </c>
      <c r="B101" s="19" t="s">
        <v>495</v>
      </c>
      <c r="C101" s="284"/>
      <c r="D101" s="238"/>
      <c r="E101" s="239">
        <v>307.5</v>
      </c>
      <c r="F101" s="355">
        <f>E101-D101</f>
        <v>307.5</v>
      </c>
      <c r="G101" s="272"/>
      <c r="H101" s="239"/>
      <c r="I101" s="140">
        <f>H101-G101</f>
        <v>0</v>
      </c>
      <c r="J101" s="240"/>
      <c r="K101" s="241"/>
      <c r="L101" s="338"/>
      <c r="M101" s="272"/>
      <c r="N101" s="239">
        <v>307.5</v>
      </c>
      <c r="O101" s="140">
        <f>N101-M101</f>
        <v>307.5</v>
      </c>
      <c r="P101" s="240"/>
      <c r="Q101" s="241"/>
      <c r="R101" s="338"/>
      <c r="S101" s="272"/>
      <c r="T101" s="239"/>
      <c r="U101" s="140">
        <f t="shared" si="38"/>
        <v>0</v>
      </c>
      <c r="V101" s="240"/>
      <c r="W101" s="241"/>
      <c r="X101" s="83"/>
    </row>
    <row r="102" spans="1:24" s="13" customFormat="1" ht="15" customHeight="1">
      <c r="A102" s="72" t="s">
        <v>269</v>
      </c>
      <c r="B102" s="19" t="s">
        <v>493</v>
      </c>
      <c r="C102" s="284"/>
      <c r="D102" s="238"/>
      <c r="E102" s="239">
        <v>150</v>
      </c>
      <c r="F102" s="355">
        <f>E102-D102</f>
        <v>150</v>
      </c>
      <c r="G102" s="272"/>
      <c r="H102" s="239">
        <v>150</v>
      </c>
      <c r="I102" s="140">
        <f>H102-G102</f>
        <v>150</v>
      </c>
      <c r="J102" s="240"/>
      <c r="K102" s="241"/>
      <c r="L102" s="338"/>
      <c r="M102" s="272"/>
      <c r="N102" s="239"/>
      <c r="O102" s="140">
        <f>N102-M102</f>
        <v>0</v>
      </c>
      <c r="P102" s="240"/>
      <c r="Q102" s="241"/>
      <c r="R102" s="338"/>
      <c r="S102" s="272"/>
      <c r="T102" s="239"/>
      <c r="U102" s="140">
        <f t="shared" si="38"/>
        <v>0</v>
      </c>
      <c r="V102" s="240"/>
      <c r="W102" s="241"/>
      <c r="X102" s="83"/>
    </row>
    <row r="103" spans="1:24" s="13" customFormat="1" ht="15" customHeight="1">
      <c r="A103" s="72"/>
      <c r="B103" s="22"/>
      <c r="C103" s="284"/>
      <c r="D103" s="238"/>
      <c r="E103" s="239"/>
      <c r="F103" s="355"/>
      <c r="G103" s="272"/>
      <c r="H103" s="239"/>
      <c r="I103" s="140"/>
      <c r="J103" s="240"/>
      <c r="K103" s="241"/>
      <c r="L103" s="338"/>
      <c r="M103" s="272"/>
      <c r="N103" s="239"/>
      <c r="O103" s="140"/>
      <c r="P103" s="240"/>
      <c r="Q103" s="241"/>
      <c r="R103" s="338"/>
      <c r="S103" s="272"/>
      <c r="T103" s="239"/>
      <c r="U103" s="140">
        <f t="shared" si="38"/>
        <v>0</v>
      </c>
      <c r="V103" s="240"/>
      <c r="W103" s="241"/>
      <c r="X103" s="83"/>
    </row>
    <row r="104" spans="1:24" s="25" customFormat="1" ht="174.75" customHeight="1">
      <c r="A104" s="72" t="s">
        <v>270</v>
      </c>
      <c r="B104" s="176" t="s">
        <v>106</v>
      </c>
      <c r="C104" s="296" t="s">
        <v>565</v>
      </c>
      <c r="D104" s="285">
        <f aca="true" t="shared" si="39" ref="D104:I104">SUM(D105)</f>
        <v>971276.8</v>
      </c>
      <c r="E104" s="286">
        <f t="shared" si="39"/>
        <v>960759.8</v>
      </c>
      <c r="F104" s="361">
        <f t="shared" si="39"/>
        <v>-10517</v>
      </c>
      <c r="G104" s="264">
        <f>SUM(G105)</f>
        <v>157069</v>
      </c>
      <c r="H104" s="286">
        <f>SUM(H105)</f>
        <v>150092</v>
      </c>
      <c r="I104" s="143">
        <f t="shared" si="39"/>
        <v>-6977</v>
      </c>
      <c r="J104" s="281" t="s">
        <v>567</v>
      </c>
      <c r="K104" s="282" t="s">
        <v>567</v>
      </c>
      <c r="L104" s="344" t="s">
        <v>566</v>
      </c>
      <c r="M104" s="264">
        <f>SUM(M105)</f>
        <v>157069</v>
      </c>
      <c r="N104" s="286">
        <f>SUM(N105)</f>
        <v>152396</v>
      </c>
      <c r="O104" s="143">
        <f>SUM(O105)</f>
        <v>-4673</v>
      </c>
      <c r="P104" s="297" t="s">
        <v>569</v>
      </c>
      <c r="Q104" s="298" t="s">
        <v>569</v>
      </c>
      <c r="R104" s="352" t="s">
        <v>568</v>
      </c>
      <c r="S104" s="264">
        <f>SUM(S105)</f>
        <v>157069</v>
      </c>
      <c r="T104" s="286">
        <f>SUM(T105)</f>
        <v>158202</v>
      </c>
      <c r="U104" s="143">
        <f>SUM(U105)</f>
        <v>1133</v>
      </c>
      <c r="V104" s="297" t="s">
        <v>694</v>
      </c>
      <c r="W104" s="298" t="s">
        <v>694</v>
      </c>
      <c r="X104" s="299" t="s">
        <v>566</v>
      </c>
    </row>
    <row r="105" spans="1:24" s="13" customFormat="1" ht="15" customHeight="1">
      <c r="A105" s="72" t="s">
        <v>271</v>
      </c>
      <c r="B105" s="22" t="s">
        <v>9</v>
      </c>
      <c r="C105" s="284"/>
      <c r="D105" s="238">
        <f>974536.8-3260</f>
        <v>971276.8</v>
      </c>
      <c r="E105" s="239">
        <v>960759.8</v>
      </c>
      <c r="F105" s="355">
        <f>E105-D105</f>
        <v>-10517</v>
      </c>
      <c r="G105" s="272">
        <v>157069</v>
      </c>
      <c r="H105" s="239">
        <v>150092</v>
      </c>
      <c r="I105" s="140">
        <f>H105-G105</f>
        <v>-6977</v>
      </c>
      <c r="J105" s="240"/>
      <c r="K105" s="241"/>
      <c r="L105" s="338"/>
      <c r="M105" s="272">
        <v>157069</v>
      </c>
      <c r="N105" s="239">
        <v>152396</v>
      </c>
      <c r="O105" s="140">
        <f>N105-M105</f>
        <v>-4673</v>
      </c>
      <c r="P105" s="240"/>
      <c r="Q105" s="241"/>
      <c r="R105" s="338"/>
      <c r="S105" s="272">
        <v>157069</v>
      </c>
      <c r="T105" s="239">
        <v>158202</v>
      </c>
      <c r="U105" s="140">
        <f>T105-S105</f>
        <v>1133</v>
      </c>
      <c r="V105" s="240"/>
      <c r="W105" s="241"/>
      <c r="X105" s="83"/>
    </row>
    <row r="106" spans="1:24" s="13" customFormat="1" ht="15" customHeight="1">
      <c r="A106" s="72"/>
      <c r="B106" s="300"/>
      <c r="C106" s="284"/>
      <c r="D106" s="238"/>
      <c r="E106" s="239"/>
      <c r="F106" s="355"/>
      <c r="G106" s="272"/>
      <c r="H106" s="239"/>
      <c r="I106" s="140"/>
      <c r="J106" s="240"/>
      <c r="K106" s="241"/>
      <c r="L106" s="338"/>
      <c r="M106" s="272"/>
      <c r="N106" s="239"/>
      <c r="O106" s="140"/>
      <c r="P106" s="240"/>
      <c r="Q106" s="241"/>
      <c r="R106" s="338"/>
      <c r="S106" s="272"/>
      <c r="T106" s="239"/>
      <c r="U106" s="140"/>
      <c r="V106" s="240"/>
      <c r="W106" s="241"/>
      <c r="X106" s="83"/>
    </row>
    <row r="107" spans="1:24" s="25" customFormat="1" ht="172.5" customHeight="1">
      <c r="A107" s="75" t="s">
        <v>272</v>
      </c>
      <c r="B107" s="177" t="s">
        <v>107</v>
      </c>
      <c r="C107" s="296" t="s">
        <v>570</v>
      </c>
      <c r="D107" s="285">
        <f aca="true" t="shared" si="40" ref="D107:I107">SUM(D108:D110)</f>
        <v>912520.732</v>
      </c>
      <c r="E107" s="286">
        <f t="shared" si="40"/>
        <v>920289.732</v>
      </c>
      <c r="F107" s="361">
        <f t="shared" si="40"/>
        <v>7769</v>
      </c>
      <c r="G107" s="264">
        <f>SUM(G108:G110)</f>
        <v>125830</v>
      </c>
      <c r="H107" s="286">
        <f>SUM(H108:H110)</f>
        <v>125480</v>
      </c>
      <c r="I107" s="143">
        <f t="shared" si="40"/>
        <v>-350</v>
      </c>
      <c r="J107" s="281" t="s">
        <v>567</v>
      </c>
      <c r="K107" s="282" t="s">
        <v>567</v>
      </c>
      <c r="L107" s="344" t="s">
        <v>566</v>
      </c>
      <c r="M107" s="264">
        <f>SUM(M108:M110)</f>
        <v>125830</v>
      </c>
      <c r="N107" s="286">
        <f>SUM(N108:N110)</f>
        <v>128779</v>
      </c>
      <c r="O107" s="143">
        <f>SUM(O108:O110)</f>
        <v>2949</v>
      </c>
      <c r="P107" s="297" t="s">
        <v>569</v>
      </c>
      <c r="Q107" s="298" t="s">
        <v>569</v>
      </c>
      <c r="R107" s="352" t="s">
        <v>568</v>
      </c>
      <c r="S107" s="264">
        <f>SUM(S108:S110)</f>
        <v>125830</v>
      </c>
      <c r="T107" s="286">
        <f>SUM(T108:T110)</f>
        <v>131000</v>
      </c>
      <c r="U107" s="143">
        <f>SUM(U108:U110)</f>
        <v>5170</v>
      </c>
      <c r="V107" s="297" t="s">
        <v>694</v>
      </c>
      <c r="W107" s="298" t="s">
        <v>694</v>
      </c>
      <c r="X107" s="299" t="s">
        <v>566</v>
      </c>
    </row>
    <row r="108" spans="1:24" s="13" customFormat="1" ht="15" customHeight="1">
      <c r="A108" s="75" t="s">
        <v>273</v>
      </c>
      <c r="B108" s="22" t="s">
        <v>7</v>
      </c>
      <c r="C108" s="284"/>
      <c r="D108" s="238">
        <v>638204.732</v>
      </c>
      <c r="E108" s="239">
        <v>645973.732</v>
      </c>
      <c r="F108" s="355">
        <f>E108-D108</f>
        <v>7769</v>
      </c>
      <c r="G108" s="272">
        <v>84830</v>
      </c>
      <c r="H108" s="239">
        <v>84480</v>
      </c>
      <c r="I108" s="140">
        <f>H108-G108</f>
        <v>-350</v>
      </c>
      <c r="J108" s="240"/>
      <c r="K108" s="241"/>
      <c r="L108" s="338"/>
      <c r="M108" s="272">
        <v>84830</v>
      </c>
      <c r="N108" s="239">
        <v>87779</v>
      </c>
      <c r="O108" s="140">
        <f>N108-M108</f>
        <v>2949</v>
      </c>
      <c r="P108" s="240"/>
      <c r="Q108" s="241"/>
      <c r="R108" s="338"/>
      <c r="S108" s="272">
        <v>84830</v>
      </c>
      <c r="T108" s="239">
        <v>90000</v>
      </c>
      <c r="U108" s="140">
        <f>T108-S108</f>
        <v>5170</v>
      </c>
      <c r="V108" s="240"/>
      <c r="W108" s="241"/>
      <c r="X108" s="83"/>
    </row>
    <row r="109" spans="1:24" s="13" customFormat="1" ht="15" customHeight="1">
      <c r="A109" s="75" t="s">
        <v>274</v>
      </c>
      <c r="B109" s="19" t="s">
        <v>9</v>
      </c>
      <c r="C109" s="284"/>
      <c r="D109" s="238">
        <v>1316</v>
      </c>
      <c r="E109" s="239">
        <v>1316</v>
      </c>
      <c r="F109" s="355">
        <f>E109-D109</f>
        <v>0</v>
      </c>
      <c r="G109" s="272"/>
      <c r="H109" s="239"/>
      <c r="I109" s="140">
        <f>H109-G109</f>
        <v>0</v>
      </c>
      <c r="J109" s="240"/>
      <c r="K109" s="241"/>
      <c r="L109" s="338"/>
      <c r="M109" s="272"/>
      <c r="N109" s="239"/>
      <c r="O109" s="140">
        <f>N109-M109</f>
        <v>0</v>
      </c>
      <c r="P109" s="240"/>
      <c r="Q109" s="241"/>
      <c r="R109" s="338"/>
      <c r="S109" s="272"/>
      <c r="T109" s="239"/>
      <c r="U109" s="140">
        <f>T109-S109</f>
        <v>0</v>
      </c>
      <c r="V109" s="240"/>
      <c r="W109" s="241"/>
      <c r="X109" s="83"/>
    </row>
    <row r="110" spans="1:24" s="13" customFormat="1" ht="15" customHeight="1">
      <c r="A110" s="75" t="s">
        <v>275</v>
      </c>
      <c r="B110" s="22" t="s">
        <v>10</v>
      </c>
      <c r="C110" s="284"/>
      <c r="D110" s="238">
        <v>273000</v>
      </c>
      <c r="E110" s="239">
        <v>273000</v>
      </c>
      <c r="F110" s="355">
        <f>E110-D110</f>
        <v>0</v>
      </c>
      <c r="G110" s="272">
        <v>41000</v>
      </c>
      <c r="H110" s="239">
        <v>41000</v>
      </c>
      <c r="I110" s="140">
        <f>H110-G110</f>
        <v>0</v>
      </c>
      <c r="J110" s="240"/>
      <c r="K110" s="241"/>
      <c r="L110" s="338"/>
      <c r="M110" s="272">
        <v>41000</v>
      </c>
      <c r="N110" s="239">
        <v>41000</v>
      </c>
      <c r="O110" s="140">
        <f>N110-M110</f>
        <v>0</v>
      </c>
      <c r="P110" s="240"/>
      <c r="Q110" s="241"/>
      <c r="R110" s="338"/>
      <c r="S110" s="272">
        <v>41000</v>
      </c>
      <c r="T110" s="239">
        <v>41000</v>
      </c>
      <c r="U110" s="140">
        <f>T110-S110</f>
        <v>0</v>
      </c>
      <c r="V110" s="240"/>
      <c r="W110" s="241"/>
      <c r="X110" s="83"/>
    </row>
    <row r="111" spans="1:24" s="13" customFormat="1" ht="15" customHeight="1">
      <c r="A111" s="72"/>
      <c r="B111" s="300"/>
      <c r="C111" s="294"/>
      <c r="D111" s="238"/>
      <c r="E111" s="239"/>
      <c r="F111" s="355"/>
      <c r="G111" s="272"/>
      <c r="H111" s="239"/>
      <c r="I111" s="140"/>
      <c r="J111" s="240"/>
      <c r="K111" s="241"/>
      <c r="L111" s="338"/>
      <c r="M111" s="272"/>
      <c r="N111" s="239"/>
      <c r="O111" s="140"/>
      <c r="P111" s="240"/>
      <c r="Q111" s="241"/>
      <c r="R111" s="338"/>
      <c r="S111" s="272"/>
      <c r="T111" s="239"/>
      <c r="U111" s="140"/>
      <c r="V111" s="240"/>
      <c r="W111" s="241"/>
      <c r="X111" s="83"/>
    </row>
    <row r="112" spans="1:24" s="25" customFormat="1" ht="87" customHeight="1">
      <c r="A112" s="75" t="s">
        <v>276</v>
      </c>
      <c r="B112" s="177" t="s">
        <v>108</v>
      </c>
      <c r="C112" s="296" t="s">
        <v>550</v>
      </c>
      <c r="D112" s="285">
        <f aca="true" t="shared" si="41" ref="D112:I112">SUM(D113:D113)</f>
        <v>3103.222</v>
      </c>
      <c r="E112" s="286">
        <f t="shared" si="41"/>
        <v>3103.222</v>
      </c>
      <c r="F112" s="361">
        <f t="shared" si="41"/>
        <v>0</v>
      </c>
      <c r="G112" s="264">
        <f>SUM(G113:G113)</f>
        <v>0</v>
      </c>
      <c r="H112" s="286">
        <f>SUM(H113:H113)</f>
        <v>0</v>
      </c>
      <c r="I112" s="143">
        <f t="shared" si="41"/>
        <v>0</v>
      </c>
      <c r="J112" s="281" t="s">
        <v>572</v>
      </c>
      <c r="K112" s="282" t="s">
        <v>572</v>
      </c>
      <c r="L112" s="344" t="s">
        <v>571</v>
      </c>
      <c r="M112" s="264">
        <f>SUM(M113:M113)</f>
        <v>0</v>
      </c>
      <c r="N112" s="286">
        <f>SUM(N113:N113)</f>
        <v>0</v>
      </c>
      <c r="O112" s="143">
        <f>SUM(O113:O113)</f>
        <v>0</v>
      </c>
      <c r="P112" s="281" t="s">
        <v>573</v>
      </c>
      <c r="Q112" s="282" t="s">
        <v>573</v>
      </c>
      <c r="R112" s="344" t="s">
        <v>571</v>
      </c>
      <c r="S112" s="264">
        <f>SUM(S113:S113)</f>
        <v>0</v>
      </c>
      <c r="T112" s="286">
        <f>SUM(T113:T113)</f>
        <v>0</v>
      </c>
      <c r="U112" s="143">
        <f>SUM(U113:U113)</f>
        <v>0</v>
      </c>
      <c r="V112" s="281" t="s">
        <v>573</v>
      </c>
      <c r="W112" s="282" t="s">
        <v>573</v>
      </c>
      <c r="X112" s="344" t="s">
        <v>571</v>
      </c>
    </row>
    <row r="113" spans="1:24" s="13" customFormat="1" ht="15.75">
      <c r="A113" s="72" t="s">
        <v>277</v>
      </c>
      <c r="B113" s="22" t="s">
        <v>7</v>
      </c>
      <c r="C113" s="284"/>
      <c r="D113" s="238">
        <v>3103.222</v>
      </c>
      <c r="E113" s="239">
        <v>3103.222</v>
      </c>
      <c r="F113" s="355">
        <f>E113-D113</f>
        <v>0</v>
      </c>
      <c r="G113" s="272"/>
      <c r="H113" s="239"/>
      <c r="I113" s="140">
        <f>H113-G113</f>
        <v>0</v>
      </c>
      <c r="J113" s="240"/>
      <c r="K113" s="241"/>
      <c r="L113" s="338"/>
      <c r="M113" s="272"/>
      <c r="N113" s="239"/>
      <c r="O113" s="140">
        <f>N113-M113</f>
        <v>0</v>
      </c>
      <c r="P113" s="240"/>
      <c r="Q113" s="241"/>
      <c r="R113" s="338"/>
      <c r="S113" s="272"/>
      <c r="T113" s="239"/>
      <c r="U113" s="140">
        <f>T113-S113</f>
        <v>0</v>
      </c>
      <c r="V113" s="240"/>
      <c r="W113" s="241"/>
      <c r="X113" s="83"/>
    </row>
    <row r="114" spans="1:24" s="13" customFormat="1" ht="15.75">
      <c r="A114" s="75"/>
      <c r="B114" s="22"/>
      <c r="C114" s="294"/>
      <c r="D114" s="238"/>
      <c r="E114" s="239"/>
      <c r="F114" s="355"/>
      <c r="G114" s="272"/>
      <c r="H114" s="239"/>
      <c r="I114" s="140"/>
      <c r="J114" s="240"/>
      <c r="K114" s="241"/>
      <c r="L114" s="338"/>
      <c r="M114" s="272"/>
      <c r="N114" s="239"/>
      <c r="O114" s="140"/>
      <c r="P114" s="240"/>
      <c r="Q114" s="241"/>
      <c r="R114" s="338"/>
      <c r="S114" s="272"/>
      <c r="T114" s="239"/>
      <c r="U114" s="140"/>
      <c r="V114" s="240"/>
      <c r="W114" s="241"/>
      <c r="X114" s="83"/>
    </row>
    <row r="115" spans="1:24" s="25" customFormat="1" ht="89.25" customHeight="1">
      <c r="A115" s="75" t="s">
        <v>278</v>
      </c>
      <c r="B115" s="177" t="s">
        <v>109</v>
      </c>
      <c r="C115" s="296" t="s">
        <v>550</v>
      </c>
      <c r="D115" s="285">
        <f aca="true" t="shared" si="42" ref="D115:I115">SUM(D116:D117)</f>
        <v>50221.235</v>
      </c>
      <c r="E115" s="286">
        <f t="shared" si="42"/>
        <v>50221.235</v>
      </c>
      <c r="F115" s="361">
        <f t="shared" si="42"/>
        <v>0</v>
      </c>
      <c r="G115" s="264">
        <f>SUM(G116:G117)</f>
        <v>0</v>
      </c>
      <c r="H115" s="286">
        <f>SUM(H116:H117)</f>
        <v>0</v>
      </c>
      <c r="I115" s="143">
        <f t="shared" si="42"/>
        <v>0</v>
      </c>
      <c r="J115" s="281" t="s">
        <v>572</v>
      </c>
      <c r="K115" s="282" t="s">
        <v>572</v>
      </c>
      <c r="L115" s="344" t="s">
        <v>571</v>
      </c>
      <c r="M115" s="264">
        <f>SUM(M116:M117)</f>
        <v>0</v>
      </c>
      <c r="N115" s="286">
        <f>SUM(N116:N117)</f>
        <v>0</v>
      </c>
      <c r="O115" s="143">
        <f>SUM(O116:O117)</f>
        <v>0</v>
      </c>
      <c r="P115" s="281" t="s">
        <v>573</v>
      </c>
      <c r="Q115" s="282" t="s">
        <v>573</v>
      </c>
      <c r="R115" s="344" t="s">
        <v>571</v>
      </c>
      <c r="S115" s="264">
        <f>SUM(S116:S117)</f>
        <v>0</v>
      </c>
      <c r="T115" s="286">
        <f>SUM(T116:T117)</f>
        <v>0</v>
      </c>
      <c r="U115" s="143">
        <f>SUM(U116:U117)</f>
        <v>0</v>
      </c>
      <c r="V115" s="281" t="s">
        <v>573</v>
      </c>
      <c r="W115" s="282" t="s">
        <v>573</v>
      </c>
      <c r="X115" s="344" t="s">
        <v>571</v>
      </c>
    </row>
    <row r="116" spans="1:24" s="25" customFormat="1" ht="15.75">
      <c r="A116" s="72" t="s">
        <v>279</v>
      </c>
      <c r="B116" s="22" t="s">
        <v>7</v>
      </c>
      <c r="C116" s="284"/>
      <c r="D116" s="238">
        <f aca="true" t="shared" si="43" ref="D116:I116">SUM(D120+D124+D127+D130)</f>
        <v>24321.235</v>
      </c>
      <c r="E116" s="239">
        <f t="shared" si="43"/>
        <v>24321.235</v>
      </c>
      <c r="F116" s="365">
        <f t="shared" si="43"/>
        <v>0</v>
      </c>
      <c r="G116" s="272">
        <f>SUM(G120+G124+G127+G130)</f>
        <v>0</v>
      </c>
      <c r="H116" s="239">
        <f>SUM(H120+H124+H127+H130)</f>
        <v>0</v>
      </c>
      <c r="I116" s="151">
        <f t="shared" si="43"/>
        <v>0</v>
      </c>
      <c r="J116" s="240"/>
      <c r="K116" s="241"/>
      <c r="L116" s="347"/>
      <c r="M116" s="272">
        <f>SUM(M120+M124+M127+M130)</f>
        <v>0</v>
      </c>
      <c r="N116" s="239">
        <f>SUM(N120+N124+N127+N130)</f>
        <v>0</v>
      </c>
      <c r="O116" s="151">
        <f>SUM(O120+O124+O127+O130)</f>
        <v>0</v>
      </c>
      <c r="P116" s="240"/>
      <c r="Q116" s="241"/>
      <c r="R116" s="347"/>
      <c r="S116" s="272">
        <f>SUM(S120+S124+S127+S130)</f>
        <v>0</v>
      </c>
      <c r="T116" s="239">
        <f>SUM(T120+T124+T127+T130)</f>
        <v>0</v>
      </c>
      <c r="U116" s="151">
        <f>SUM(U120+U124+U127+U130)</f>
        <v>0</v>
      </c>
      <c r="V116" s="240"/>
      <c r="W116" s="241"/>
      <c r="X116" s="92"/>
    </row>
    <row r="117" spans="1:24" s="25" customFormat="1" ht="15.75">
      <c r="A117" s="72" t="s">
        <v>280</v>
      </c>
      <c r="B117" s="19" t="s">
        <v>9</v>
      </c>
      <c r="C117" s="284"/>
      <c r="D117" s="238">
        <f aca="true" t="shared" si="44" ref="D117:I117">SUM(D121+D131)</f>
        <v>25900</v>
      </c>
      <c r="E117" s="239">
        <f t="shared" si="44"/>
        <v>25900</v>
      </c>
      <c r="F117" s="365">
        <f t="shared" si="44"/>
        <v>0</v>
      </c>
      <c r="G117" s="272">
        <f>SUM(G121+G131)</f>
        <v>0</v>
      </c>
      <c r="H117" s="239">
        <f>SUM(H121+H131)</f>
        <v>0</v>
      </c>
      <c r="I117" s="151">
        <f t="shared" si="44"/>
        <v>0</v>
      </c>
      <c r="J117" s="240"/>
      <c r="K117" s="241"/>
      <c r="L117" s="347"/>
      <c r="M117" s="272">
        <f>SUM(M121+M131)</f>
        <v>0</v>
      </c>
      <c r="N117" s="239">
        <f>SUM(N121+N131)</f>
        <v>0</v>
      </c>
      <c r="O117" s="151">
        <f>SUM(O121+O131)</f>
        <v>0</v>
      </c>
      <c r="P117" s="240"/>
      <c r="Q117" s="241"/>
      <c r="R117" s="347"/>
      <c r="S117" s="272">
        <f>SUM(S121+S131)</f>
        <v>0</v>
      </c>
      <c r="T117" s="239">
        <f>SUM(T121+T131)</f>
        <v>0</v>
      </c>
      <c r="U117" s="151">
        <f>SUM(U121+U131)</f>
        <v>0</v>
      </c>
      <c r="V117" s="240"/>
      <c r="W117" s="241"/>
      <c r="X117" s="92"/>
    </row>
    <row r="118" spans="1:24" s="25" customFormat="1" ht="15.75">
      <c r="A118" s="72"/>
      <c r="B118" s="22" t="s">
        <v>81</v>
      </c>
      <c r="C118" s="284"/>
      <c r="D118" s="285"/>
      <c r="E118" s="286"/>
      <c r="F118" s="361"/>
      <c r="G118" s="264"/>
      <c r="H118" s="286"/>
      <c r="I118" s="143"/>
      <c r="J118" s="288"/>
      <c r="K118" s="289"/>
      <c r="L118" s="343"/>
      <c r="M118" s="264"/>
      <c r="N118" s="286"/>
      <c r="O118" s="143"/>
      <c r="P118" s="288"/>
      <c r="Q118" s="289"/>
      <c r="R118" s="343"/>
      <c r="S118" s="264"/>
      <c r="T118" s="286"/>
      <c r="U118" s="143"/>
      <c r="V118" s="288"/>
      <c r="W118" s="289"/>
      <c r="X118" s="85"/>
    </row>
    <row r="119" spans="1:24" s="25" customFormat="1" ht="51.75" customHeight="1">
      <c r="A119" s="72" t="s">
        <v>281</v>
      </c>
      <c r="B119" s="22" t="s">
        <v>82</v>
      </c>
      <c r="C119" s="284"/>
      <c r="D119" s="285">
        <f aca="true" t="shared" si="45" ref="D119:I119">SUM(D120:D121)</f>
        <v>40341.235</v>
      </c>
      <c r="E119" s="286">
        <f t="shared" si="45"/>
        <v>40341.235</v>
      </c>
      <c r="F119" s="361">
        <f t="shared" si="45"/>
        <v>0</v>
      </c>
      <c r="G119" s="264">
        <f>SUM(G120:G121)</f>
        <v>0</v>
      </c>
      <c r="H119" s="286">
        <f>SUM(H120:H121)</f>
        <v>0</v>
      </c>
      <c r="I119" s="143">
        <f t="shared" si="45"/>
        <v>0</v>
      </c>
      <c r="J119" s="288"/>
      <c r="K119" s="289"/>
      <c r="L119" s="343"/>
      <c r="M119" s="264">
        <f>SUM(M120:M121)</f>
        <v>0</v>
      </c>
      <c r="N119" s="286">
        <f>SUM(N120:N121)</f>
        <v>0</v>
      </c>
      <c r="O119" s="143">
        <f>SUM(O120:O121)</f>
        <v>0</v>
      </c>
      <c r="P119" s="288"/>
      <c r="Q119" s="289"/>
      <c r="R119" s="343"/>
      <c r="S119" s="264">
        <f>SUM(S120:S121)</f>
        <v>0</v>
      </c>
      <c r="T119" s="286">
        <f>SUM(T120:T121)</f>
        <v>0</v>
      </c>
      <c r="U119" s="143">
        <f>SUM(U120:U121)</f>
        <v>0</v>
      </c>
      <c r="V119" s="288"/>
      <c r="W119" s="289"/>
      <c r="X119" s="85"/>
    </row>
    <row r="120" spans="1:24" s="25" customFormat="1" ht="15.75">
      <c r="A120" s="72" t="s">
        <v>282</v>
      </c>
      <c r="B120" s="22" t="s">
        <v>7</v>
      </c>
      <c r="C120" s="284"/>
      <c r="D120" s="238">
        <v>17241.235</v>
      </c>
      <c r="E120" s="239">
        <v>17241.235</v>
      </c>
      <c r="F120" s="355">
        <f>E120-D120</f>
        <v>0</v>
      </c>
      <c r="G120" s="272">
        <f>2700-2700</f>
        <v>0</v>
      </c>
      <c r="H120" s="239">
        <f>2700-2700</f>
        <v>0</v>
      </c>
      <c r="I120" s="140">
        <f>H120-G120</f>
        <v>0</v>
      </c>
      <c r="J120" s="240"/>
      <c r="K120" s="241"/>
      <c r="L120" s="338"/>
      <c r="M120" s="272">
        <f>2700-2700</f>
        <v>0</v>
      </c>
      <c r="N120" s="239">
        <f>2700-2700</f>
        <v>0</v>
      </c>
      <c r="O120" s="140">
        <f>N120-M120</f>
        <v>0</v>
      </c>
      <c r="P120" s="240"/>
      <c r="Q120" s="241"/>
      <c r="R120" s="338"/>
      <c r="S120" s="272">
        <f>2700-2700</f>
        <v>0</v>
      </c>
      <c r="T120" s="239">
        <f>2700-2700</f>
        <v>0</v>
      </c>
      <c r="U120" s="140">
        <f>T120-S120</f>
        <v>0</v>
      </c>
      <c r="V120" s="240"/>
      <c r="W120" s="241"/>
      <c r="X120" s="83"/>
    </row>
    <row r="121" spans="1:24" s="25" customFormat="1" ht="15.75">
      <c r="A121" s="72" t="s">
        <v>283</v>
      </c>
      <c r="B121" s="19" t="s">
        <v>9</v>
      </c>
      <c r="C121" s="284"/>
      <c r="D121" s="238">
        <v>23100</v>
      </c>
      <c r="E121" s="239">
        <v>23100</v>
      </c>
      <c r="F121" s="355">
        <f>E121-D121</f>
        <v>0</v>
      </c>
      <c r="G121" s="272"/>
      <c r="H121" s="239"/>
      <c r="I121" s="140">
        <f>H121-G121</f>
        <v>0</v>
      </c>
      <c r="J121" s="240"/>
      <c r="K121" s="241"/>
      <c r="L121" s="338"/>
      <c r="M121" s="272"/>
      <c r="N121" s="239"/>
      <c r="O121" s="140">
        <f>N121-M121</f>
        <v>0</v>
      </c>
      <c r="P121" s="240"/>
      <c r="Q121" s="241"/>
      <c r="R121" s="338"/>
      <c r="S121" s="272"/>
      <c r="T121" s="239"/>
      <c r="U121" s="140">
        <f>T121-S121</f>
        <v>0</v>
      </c>
      <c r="V121" s="240"/>
      <c r="W121" s="241"/>
      <c r="X121" s="83"/>
    </row>
    <row r="122" spans="1:24" s="25" customFormat="1" ht="15.75">
      <c r="A122" s="72"/>
      <c r="B122" s="19"/>
      <c r="C122" s="284"/>
      <c r="D122" s="238"/>
      <c r="E122" s="239"/>
      <c r="F122" s="365"/>
      <c r="G122" s="272"/>
      <c r="H122" s="239"/>
      <c r="I122" s="151"/>
      <c r="J122" s="240"/>
      <c r="K122" s="241"/>
      <c r="L122" s="347"/>
      <c r="M122" s="272"/>
      <c r="N122" s="239"/>
      <c r="O122" s="151"/>
      <c r="P122" s="240"/>
      <c r="Q122" s="241"/>
      <c r="R122" s="347"/>
      <c r="S122" s="272"/>
      <c r="T122" s="239"/>
      <c r="U122" s="151"/>
      <c r="V122" s="240"/>
      <c r="W122" s="241"/>
      <c r="X122" s="92"/>
    </row>
    <row r="123" spans="1:24" s="25" customFormat="1" ht="50.25" customHeight="1">
      <c r="A123" s="72" t="s">
        <v>284</v>
      </c>
      <c r="B123" s="178" t="s">
        <v>80</v>
      </c>
      <c r="C123" s="284"/>
      <c r="D123" s="238">
        <f aca="true" t="shared" si="46" ref="D123:I123">SUM(D124)</f>
        <v>780</v>
      </c>
      <c r="E123" s="239">
        <f t="shared" si="46"/>
        <v>780</v>
      </c>
      <c r="F123" s="365">
        <f t="shared" si="46"/>
        <v>0</v>
      </c>
      <c r="G123" s="272">
        <f>SUM(G124)</f>
        <v>0</v>
      </c>
      <c r="H123" s="239">
        <f>SUM(H124)</f>
        <v>0</v>
      </c>
      <c r="I123" s="151">
        <f t="shared" si="46"/>
        <v>0</v>
      </c>
      <c r="J123" s="240"/>
      <c r="K123" s="241"/>
      <c r="L123" s="347"/>
      <c r="M123" s="272">
        <f>SUM(M124)</f>
        <v>0</v>
      </c>
      <c r="N123" s="239">
        <f>SUM(N124)</f>
        <v>0</v>
      </c>
      <c r="O123" s="151">
        <f>SUM(O124)</f>
        <v>0</v>
      </c>
      <c r="P123" s="240"/>
      <c r="Q123" s="241"/>
      <c r="R123" s="347"/>
      <c r="S123" s="272">
        <f>SUM(S124)</f>
        <v>0</v>
      </c>
      <c r="T123" s="239">
        <f>SUM(T124)</f>
        <v>0</v>
      </c>
      <c r="U123" s="151">
        <f>SUM(U124)</f>
        <v>0</v>
      </c>
      <c r="V123" s="240"/>
      <c r="W123" s="241"/>
      <c r="X123" s="92"/>
    </row>
    <row r="124" spans="1:24" s="13" customFormat="1" ht="15.75">
      <c r="A124" s="72" t="s">
        <v>285</v>
      </c>
      <c r="B124" s="22" t="s">
        <v>7</v>
      </c>
      <c r="C124" s="284"/>
      <c r="D124" s="238">
        <v>780</v>
      </c>
      <c r="E124" s="239">
        <v>780</v>
      </c>
      <c r="F124" s="355">
        <f>E124-D124</f>
        <v>0</v>
      </c>
      <c r="G124" s="272"/>
      <c r="H124" s="239"/>
      <c r="I124" s="140">
        <f>H124-G124</f>
        <v>0</v>
      </c>
      <c r="J124" s="240"/>
      <c r="K124" s="241"/>
      <c r="L124" s="338"/>
      <c r="M124" s="272"/>
      <c r="N124" s="239"/>
      <c r="O124" s="140">
        <f>N124-M124</f>
        <v>0</v>
      </c>
      <c r="P124" s="240"/>
      <c r="Q124" s="241"/>
      <c r="R124" s="338"/>
      <c r="S124" s="272"/>
      <c r="T124" s="239"/>
      <c r="U124" s="140">
        <f>T124-S124</f>
        <v>0</v>
      </c>
      <c r="V124" s="240"/>
      <c r="W124" s="241"/>
      <c r="X124" s="83"/>
    </row>
    <row r="125" spans="1:24" s="13" customFormat="1" ht="15.75">
      <c r="A125" s="72"/>
      <c r="B125" s="22"/>
      <c r="C125" s="284"/>
      <c r="D125" s="238"/>
      <c r="E125" s="239"/>
      <c r="F125" s="355"/>
      <c r="G125" s="272"/>
      <c r="H125" s="239"/>
      <c r="I125" s="140"/>
      <c r="J125" s="240"/>
      <c r="K125" s="241"/>
      <c r="L125" s="338"/>
      <c r="M125" s="272"/>
      <c r="N125" s="239"/>
      <c r="O125" s="140"/>
      <c r="P125" s="240"/>
      <c r="Q125" s="241"/>
      <c r="R125" s="338"/>
      <c r="S125" s="272"/>
      <c r="T125" s="239"/>
      <c r="U125" s="140"/>
      <c r="V125" s="240"/>
      <c r="W125" s="241"/>
      <c r="X125" s="83"/>
    </row>
    <row r="126" spans="1:24" s="25" customFormat="1" ht="49.5" customHeight="1">
      <c r="A126" s="72" t="s">
        <v>286</v>
      </c>
      <c r="B126" s="178" t="s">
        <v>90</v>
      </c>
      <c r="C126" s="284"/>
      <c r="D126" s="238">
        <f aca="true" t="shared" si="47" ref="D126:I126">SUM(D127)</f>
        <v>5100</v>
      </c>
      <c r="E126" s="239">
        <f t="shared" si="47"/>
        <v>5100</v>
      </c>
      <c r="F126" s="365">
        <f t="shared" si="47"/>
        <v>0</v>
      </c>
      <c r="G126" s="272">
        <f>SUM(G127)</f>
        <v>0</v>
      </c>
      <c r="H126" s="239">
        <f>SUM(H127)</f>
        <v>0</v>
      </c>
      <c r="I126" s="151">
        <f t="shared" si="47"/>
        <v>0</v>
      </c>
      <c r="J126" s="240"/>
      <c r="K126" s="241"/>
      <c r="L126" s="347"/>
      <c r="M126" s="272">
        <f>SUM(M127)</f>
        <v>0</v>
      </c>
      <c r="N126" s="239">
        <f>SUM(N127)</f>
        <v>0</v>
      </c>
      <c r="O126" s="151">
        <f>SUM(O127)</f>
        <v>0</v>
      </c>
      <c r="P126" s="240"/>
      <c r="Q126" s="241"/>
      <c r="R126" s="347"/>
      <c r="S126" s="272">
        <f>SUM(S127)</f>
        <v>0</v>
      </c>
      <c r="T126" s="239">
        <f>SUM(T127)</f>
        <v>0</v>
      </c>
      <c r="U126" s="151">
        <f>SUM(U127)</f>
        <v>0</v>
      </c>
      <c r="V126" s="240"/>
      <c r="W126" s="241"/>
      <c r="X126" s="92"/>
    </row>
    <row r="127" spans="1:24" s="13" customFormat="1" ht="15.75">
      <c r="A127" s="72" t="s">
        <v>287</v>
      </c>
      <c r="B127" s="22" t="s">
        <v>7</v>
      </c>
      <c r="C127" s="284"/>
      <c r="D127" s="238">
        <v>5100</v>
      </c>
      <c r="E127" s="239">
        <v>5100</v>
      </c>
      <c r="F127" s="355">
        <f>E127-D127</f>
        <v>0</v>
      </c>
      <c r="G127" s="272"/>
      <c r="H127" s="239"/>
      <c r="I127" s="140">
        <f>H127-G127</f>
        <v>0</v>
      </c>
      <c r="J127" s="240"/>
      <c r="K127" s="241"/>
      <c r="L127" s="338"/>
      <c r="M127" s="272"/>
      <c r="N127" s="239"/>
      <c r="O127" s="140">
        <f>N127-M127</f>
        <v>0</v>
      </c>
      <c r="P127" s="240"/>
      <c r="Q127" s="241"/>
      <c r="R127" s="338"/>
      <c r="S127" s="272"/>
      <c r="T127" s="239"/>
      <c r="U127" s="140">
        <f>T127-S127</f>
        <v>0</v>
      </c>
      <c r="V127" s="240"/>
      <c r="W127" s="241"/>
      <c r="X127" s="83"/>
    </row>
    <row r="128" spans="1:24" s="13" customFormat="1" ht="15.75">
      <c r="A128" s="72"/>
      <c r="B128" s="22"/>
      <c r="C128" s="284"/>
      <c r="D128" s="238"/>
      <c r="E128" s="239"/>
      <c r="F128" s="355"/>
      <c r="G128" s="272"/>
      <c r="H128" s="239"/>
      <c r="I128" s="140"/>
      <c r="J128" s="240"/>
      <c r="K128" s="241"/>
      <c r="L128" s="338"/>
      <c r="M128" s="272"/>
      <c r="N128" s="239"/>
      <c r="O128" s="140"/>
      <c r="P128" s="240"/>
      <c r="Q128" s="241"/>
      <c r="R128" s="338"/>
      <c r="S128" s="272"/>
      <c r="T128" s="239"/>
      <c r="U128" s="140"/>
      <c r="V128" s="240"/>
      <c r="W128" s="241"/>
      <c r="X128" s="83"/>
    </row>
    <row r="129" spans="1:24" s="13" customFormat="1" ht="31.5">
      <c r="A129" s="72" t="s">
        <v>288</v>
      </c>
      <c r="B129" s="22" t="s">
        <v>574</v>
      </c>
      <c r="C129" s="284"/>
      <c r="D129" s="285">
        <f aca="true" t="shared" si="48" ref="D129:I129">SUM(D130:D131)</f>
        <v>4000</v>
      </c>
      <c r="E129" s="286">
        <f t="shared" si="48"/>
        <v>4000</v>
      </c>
      <c r="F129" s="361">
        <f t="shared" si="48"/>
        <v>0</v>
      </c>
      <c r="G129" s="264">
        <f>SUM(G130:G131)</f>
        <v>0</v>
      </c>
      <c r="H129" s="286">
        <f>SUM(H130:H131)</f>
        <v>0</v>
      </c>
      <c r="I129" s="143">
        <f t="shared" si="48"/>
        <v>0</v>
      </c>
      <c r="J129" s="288"/>
      <c r="K129" s="289"/>
      <c r="L129" s="343"/>
      <c r="M129" s="264">
        <f>SUM(M130:M131)</f>
        <v>0</v>
      </c>
      <c r="N129" s="286">
        <f>SUM(N130:N131)</f>
        <v>0</v>
      </c>
      <c r="O129" s="143">
        <f>SUM(O130:O131)</f>
        <v>0</v>
      </c>
      <c r="P129" s="288"/>
      <c r="Q129" s="289"/>
      <c r="R129" s="343"/>
      <c r="S129" s="264">
        <f>SUM(S130:S131)</f>
        <v>0</v>
      </c>
      <c r="T129" s="286">
        <f>SUM(T130:T131)</f>
        <v>0</v>
      </c>
      <c r="U129" s="143">
        <f>SUM(U130:U131)</f>
        <v>0</v>
      </c>
      <c r="V129" s="288"/>
      <c r="W129" s="289"/>
      <c r="X129" s="85"/>
    </row>
    <row r="130" spans="1:24" s="13" customFormat="1" ht="15.75">
      <c r="A130" s="72" t="s">
        <v>289</v>
      </c>
      <c r="B130" s="22" t="s">
        <v>7</v>
      </c>
      <c r="C130" s="284"/>
      <c r="D130" s="238">
        <v>1200</v>
      </c>
      <c r="E130" s="239">
        <v>1200</v>
      </c>
      <c r="F130" s="355">
        <f>E130-D130</f>
        <v>0</v>
      </c>
      <c r="G130" s="272"/>
      <c r="H130" s="239"/>
      <c r="I130" s="140">
        <f>H130-G130</f>
        <v>0</v>
      </c>
      <c r="J130" s="240"/>
      <c r="K130" s="241"/>
      <c r="L130" s="338"/>
      <c r="M130" s="272"/>
      <c r="N130" s="239"/>
      <c r="O130" s="140">
        <f>N130-M130</f>
        <v>0</v>
      </c>
      <c r="P130" s="240"/>
      <c r="Q130" s="241"/>
      <c r="R130" s="338"/>
      <c r="S130" s="272"/>
      <c r="T130" s="239"/>
      <c r="U130" s="140">
        <f>T130-S130</f>
        <v>0</v>
      </c>
      <c r="V130" s="240"/>
      <c r="W130" s="241"/>
      <c r="X130" s="83"/>
    </row>
    <row r="131" spans="1:24" s="13" customFormat="1" ht="15.75">
      <c r="A131" s="72" t="s">
        <v>290</v>
      </c>
      <c r="B131" s="19" t="s">
        <v>9</v>
      </c>
      <c r="C131" s="284"/>
      <c r="D131" s="238">
        <v>2800</v>
      </c>
      <c r="E131" s="239">
        <v>2800</v>
      </c>
      <c r="F131" s="355">
        <f>E131-D131</f>
        <v>0</v>
      </c>
      <c r="G131" s="272"/>
      <c r="H131" s="239"/>
      <c r="I131" s="140">
        <f>H131-G131</f>
        <v>0</v>
      </c>
      <c r="J131" s="240"/>
      <c r="K131" s="241"/>
      <c r="L131" s="338"/>
      <c r="M131" s="272"/>
      <c r="N131" s="239"/>
      <c r="O131" s="140">
        <f>N131-M131</f>
        <v>0</v>
      </c>
      <c r="P131" s="240"/>
      <c r="Q131" s="241"/>
      <c r="R131" s="338"/>
      <c r="S131" s="272"/>
      <c r="T131" s="239"/>
      <c r="U131" s="140">
        <f>T131-S131</f>
        <v>0</v>
      </c>
      <c r="V131" s="240"/>
      <c r="W131" s="241"/>
      <c r="X131" s="83"/>
    </row>
    <row r="132" spans="1:24" s="13" customFormat="1" ht="15.75">
      <c r="A132" s="372"/>
      <c r="B132" s="19"/>
      <c r="C132" s="373"/>
      <c r="D132" s="238"/>
      <c r="E132" s="239"/>
      <c r="F132" s="355"/>
      <c r="G132" s="272"/>
      <c r="H132" s="239"/>
      <c r="I132" s="140"/>
      <c r="J132" s="240"/>
      <c r="K132" s="241"/>
      <c r="L132" s="338"/>
      <c r="M132" s="272"/>
      <c r="N132" s="239"/>
      <c r="O132" s="140"/>
      <c r="P132" s="240"/>
      <c r="Q132" s="241"/>
      <c r="R132" s="338"/>
      <c r="S132" s="272"/>
      <c r="T132" s="239"/>
      <c r="U132" s="140"/>
      <c r="V132" s="240"/>
      <c r="W132" s="241"/>
      <c r="X132" s="83"/>
    </row>
    <row r="133" spans="1:24" s="13" customFormat="1" ht="93.75" customHeight="1">
      <c r="A133" s="75" t="s">
        <v>291</v>
      </c>
      <c r="B133" s="27" t="s">
        <v>491</v>
      </c>
      <c r="C133" s="296" t="s">
        <v>725</v>
      </c>
      <c r="D133" s="238">
        <f>SUM(D134:D136)</f>
        <v>0</v>
      </c>
      <c r="E133" s="239">
        <f>SUM(E134:E136)</f>
        <v>500</v>
      </c>
      <c r="F133" s="361">
        <f>SUM(F134:F135)</f>
        <v>500</v>
      </c>
      <c r="G133" s="272">
        <f>SUM(G134:G136)</f>
        <v>0</v>
      </c>
      <c r="H133" s="239">
        <f>SUM(H134:H136)</f>
        <v>500</v>
      </c>
      <c r="I133" s="140">
        <f>SUM(I134:I135)</f>
        <v>500</v>
      </c>
      <c r="J133" s="281" t="s">
        <v>589</v>
      </c>
      <c r="K133" s="282" t="s">
        <v>589</v>
      </c>
      <c r="L133" s="344" t="s">
        <v>588</v>
      </c>
      <c r="M133" s="272">
        <f>SUM(M134:M136)</f>
        <v>0</v>
      </c>
      <c r="N133" s="239">
        <f>SUM(N134:N136)</f>
        <v>0</v>
      </c>
      <c r="O133" s="140">
        <f>SUM(O134:O135)</f>
        <v>0</v>
      </c>
      <c r="P133" s="281" t="s">
        <v>590</v>
      </c>
      <c r="Q133" s="282" t="s">
        <v>590</v>
      </c>
      <c r="R133" s="344" t="s">
        <v>588</v>
      </c>
      <c r="S133" s="272">
        <f>SUM(S134:S136)</f>
        <v>0</v>
      </c>
      <c r="T133" s="239">
        <f>SUM(T134:T136)</f>
        <v>0</v>
      </c>
      <c r="U133" s="140">
        <f>SUM(U134:U135)</f>
        <v>0</v>
      </c>
      <c r="V133" s="281" t="s">
        <v>702</v>
      </c>
      <c r="W133" s="312" t="s">
        <v>702</v>
      </c>
      <c r="X133" s="283" t="s">
        <v>588</v>
      </c>
    </row>
    <row r="134" spans="1:24" s="13" customFormat="1" ht="15.75">
      <c r="A134" s="72" t="s">
        <v>292</v>
      </c>
      <c r="B134" s="22" t="s">
        <v>7</v>
      </c>
      <c r="C134" s="284"/>
      <c r="D134" s="238"/>
      <c r="E134" s="239">
        <v>500</v>
      </c>
      <c r="F134" s="355">
        <f>E134-D134</f>
        <v>500</v>
      </c>
      <c r="G134" s="272"/>
      <c r="H134" s="239">
        <v>500</v>
      </c>
      <c r="I134" s="140">
        <f>H134-G134</f>
        <v>500</v>
      </c>
      <c r="J134" s="240"/>
      <c r="K134" s="241"/>
      <c r="L134" s="338"/>
      <c r="M134" s="272"/>
      <c r="N134" s="239"/>
      <c r="O134" s="140">
        <f>N134-M134</f>
        <v>0</v>
      </c>
      <c r="P134" s="240"/>
      <c r="Q134" s="241"/>
      <c r="R134" s="338"/>
      <c r="S134" s="272"/>
      <c r="T134" s="239"/>
      <c r="U134" s="140">
        <f>T134-S134</f>
        <v>0</v>
      </c>
      <c r="V134" s="240"/>
      <c r="W134" s="241"/>
      <c r="X134" s="83"/>
    </row>
    <row r="135" spans="1:24" s="13" customFormat="1" ht="15.75">
      <c r="A135" s="72" t="s">
        <v>293</v>
      </c>
      <c r="B135" s="22" t="s">
        <v>8</v>
      </c>
      <c r="C135" s="284"/>
      <c r="D135" s="238"/>
      <c r="E135" s="239"/>
      <c r="F135" s="355"/>
      <c r="G135" s="272"/>
      <c r="H135" s="239"/>
      <c r="I135" s="140"/>
      <c r="J135" s="240"/>
      <c r="K135" s="241"/>
      <c r="L135" s="338"/>
      <c r="M135" s="272"/>
      <c r="N135" s="239"/>
      <c r="O135" s="140"/>
      <c r="P135" s="240"/>
      <c r="Q135" s="241"/>
      <c r="R135" s="338"/>
      <c r="S135" s="272"/>
      <c r="T135" s="239"/>
      <c r="U135" s="140"/>
      <c r="V135" s="240"/>
      <c r="W135" s="241"/>
      <c r="X135" s="83"/>
    </row>
    <row r="136" spans="1:24" s="13" customFormat="1" ht="15.75">
      <c r="A136" s="72" t="s">
        <v>294</v>
      </c>
      <c r="B136" s="19" t="s">
        <v>9</v>
      </c>
      <c r="C136" s="284"/>
      <c r="D136" s="238"/>
      <c r="E136" s="239"/>
      <c r="F136" s="355"/>
      <c r="G136" s="272"/>
      <c r="H136" s="239"/>
      <c r="I136" s="140"/>
      <c r="J136" s="240"/>
      <c r="K136" s="241"/>
      <c r="L136" s="338"/>
      <c r="M136" s="272"/>
      <c r="N136" s="239"/>
      <c r="O136" s="140"/>
      <c r="P136" s="240"/>
      <c r="Q136" s="241"/>
      <c r="R136" s="338"/>
      <c r="S136" s="272"/>
      <c r="T136" s="239"/>
      <c r="U136" s="140"/>
      <c r="V136" s="240"/>
      <c r="W136" s="241"/>
      <c r="X136" s="83"/>
    </row>
    <row r="137" spans="1:24" s="13" customFormat="1" ht="15.75">
      <c r="A137" s="72"/>
      <c r="B137" s="19" t="s">
        <v>19</v>
      </c>
      <c r="C137" s="284"/>
      <c r="D137" s="238"/>
      <c r="E137" s="239"/>
      <c r="F137" s="355"/>
      <c r="G137" s="272"/>
      <c r="H137" s="239"/>
      <c r="I137" s="140"/>
      <c r="J137" s="240"/>
      <c r="K137" s="241"/>
      <c r="L137" s="338"/>
      <c r="M137" s="272"/>
      <c r="N137" s="239"/>
      <c r="O137" s="140"/>
      <c r="P137" s="240"/>
      <c r="Q137" s="241"/>
      <c r="R137" s="338"/>
      <c r="S137" s="272"/>
      <c r="T137" s="239"/>
      <c r="U137" s="140"/>
      <c r="V137" s="240"/>
      <c r="W137" s="241"/>
      <c r="X137" s="83"/>
    </row>
    <row r="138" spans="1:24" s="13" customFormat="1" ht="15.75">
      <c r="A138" s="72" t="s">
        <v>295</v>
      </c>
      <c r="B138" s="22" t="s">
        <v>171</v>
      </c>
      <c r="C138" s="284"/>
      <c r="D138" s="238">
        <f>SUM(D134:D136)</f>
        <v>0</v>
      </c>
      <c r="E138" s="239">
        <f>SUM(E134:E136)</f>
        <v>500</v>
      </c>
      <c r="F138" s="355">
        <f>E138-D138</f>
        <v>500</v>
      </c>
      <c r="G138" s="272">
        <f>SUM(G134:G136)</f>
        <v>0</v>
      </c>
      <c r="H138" s="239">
        <f>SUM(H134:H136)</f>
        <v>500</v>
      </c>
      <c r="I138" s="140">
        <f>H138-G138</f>
        <v>500</v>
      </c>
      <c r="J138" s="240"/>
      <c r="K138" s="241"/>
      <c r="L138" s="338"/>
      <c r="M138" s="272">
        <f>SUM(M134:M136)</f>
        <v>0</v>
      </c>
      <c r="N138" s="239">
        <f>SUM(N134:N136)</f>
        <v>0</v>
      </c>
      <c r="O138" s="140">
        <f>N138-M138</f>
        <v>0</v>
      </c>
      <c r="P138" s="240"/>
      <c r="Q138" s="241"/>
      <c r="R138" s="338"/>
      <c r="S138" s="272">
        <f>SUM(S134:S136)</f>
        <v>0</v>
      </c>
      <c r="T138" s="239">
        <f>SUM(T134:T136)</f>
        <v>0</v>
      </c>
      <c r="U138" s="140">
        <f>T138-S138</f>
        <v>0</v>
      </c>
      <c r="V138" s="240"/>
      <c r="W138" s="241"/>
      <c r="X138" s="83"/>
    </row>
    <row r="139" spans="1:24" s="13" customFormat="1" ht="15.75">
      <c r="A139" s="75"/>
      <c r="B139" s="22"/>
      <c r="C139" s="294"/>
      <c r="D139" s="238"/>
      <c r="E139" s="239"/>
      <c r="F139" s="355"/>
      <c r="G139" s="272"/>
      <c r="H139" s="239"/>
      <c r="I139" s="140"/>
      <c r="J139" s="240"/>
      <c r="K139" s="241"/>
      <c r="L139" s="338"/>
      <c r="M139" s="272"/>
      <c r="N139" s="239"/>
      <c r="O139" s="140"/>
      <c r="P139" s="240"/>
      <c r="Q139" s="241"/>
      <c r="R139" s="338"/>
      <c r="S139" s="272"/>
      <c r="T139" s="239"/>
      <c r="U139" s="140"/>
      <c r="V139" s="240"/>
      <c r="W139" s="241"/>
      <c r="X139" s="83"/>
    </row>
    <row r="140" spans="1:24" s="6" customFormat="1" ht="15" customHeight="1">
      <c r="A140" s="125"/>
      <c r="B140" s="255"/>
      <c r="C140" s="301"/>
      <c r="D140" s="380" t="s">
        <v>58</v>
      </c>
      <c r="E140" s="381"/>
      <c r="F140" s="381"/>
      <c r="G140" s="381"/>
      <c r="H140" s="381"/>
      <c r="I140" s="381"/>
      <c r="J140" s="381"/>
      <c r="K140" s="381"/>
      <c r="L140" s="421"/>
      <c r="M140" s="381" t="s">
        <v>58</v>
      </c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</row>
    <row r="141" spans="1:24" s="24" customFormat="1" ht="23.25" customHeight="1">
      <c r="A141" s="76" t="s">
        <v>296</v>
      </c>
      <c r="B141" s="26" t="s">
        <v>35</v>
      </c>
      <c r="C141" s="256"/>
      <c r="D141" s="264">
        <f aca="true" t="shared" si="49" ref="D141:I141">SUM(D142:D145)</f>
        <v>2253304.7364999996</v>
      </c>
      <c r="E141" s="265">
        <f t="shared" si="49"/>
        <v>2334943.2364999996</v>
      </c>
      <c r="F141" s="361">
        <f t="shared" si="49"/>
        <v>80720.46299999999</v>
      </c>
      <c r="G141" s="264">
        <f>SUM(G142:G145)</f>
        <v>306232.4</v>
      </c>
      <c r="H141" s="265">
        <f>SUM(H142:H145)</f>
        <v>325463</v>
      </c>
      <c r="I141" s="144">
        <f t="shared" si="49"/>
        <v>16162.562999999998</v>
      </c>
      <c r="J141" s="266"/>
      <c r="K141" s="267"/>
      <c r="L141" s="343"/>
      <c r="M141" s="264">
        <f>SUM(M142:M145)</f>
        <v>306312.4</v>
      </c>
      <c r="N141" s="265">
        <f>SUM(N142:N145)</f>
        <v>336498</v>
      </c>
      <c r="O141" s="144">
        <f>SUM(O142:O145)</f>
        <v>30185.600000000006</v>
      </c>
      <c r="P141" s="266"/>
      <c r="Q141" s="267"/>
      <c r="R141" s="343"/>
      <c r="S141" s="264">
        <f>SUM(S142:S145)</f>
        <v>306970.7</v>
      </c>
      <c r="T141" s="265">
        <f>SUM(T142:T145)</f>
        <v>339193</v>
      </c>
      <c r="U141" s="144">
        <f>SUM(U142:U145)</f>
        <v>32222.300000000003</v>
      </c>
      <c r="V141" s="266"/>
      <c r="W141" s="267"/>
      <c r="X141" s="90"/>
    </row>
    <row r="142" spans="1:24" s="7" customFormat="1" ht="15" customHeight="1">
      <c r="A142" s="76" t="s">
        <v>297</v>
      </c>
      <c r="B142" s="9" t="s">
        <v>7</v>
      </c>
      <c r="C142" s="256"/>
      <c r="D142" s="238">
        <f aca="true" t="shared" si="50" ref="D142:I142">SUM(D148+D180)</f>
        <v>798786.4604999999</v>
      </c>
      <c r="E142" s="239">
        <f t="shared" si="50"/>
        <v>840152.9604999999</v>
      </c>
      <c r="F142" s="355">
        <f t="shared" si="50"/>
        <v>40448.462999999996</v>
      </c>
      <c r="G142" s="272">
        <f t="shared" si="50"/>
        <v>98859.40000000001</v>
      </c>
      <c r="H142" s="239">
        <f t="shared" si="50"/>
        <v>107950</v>
      </c>
      <c r="I142" s="140">
        <f t="shared" si="50"/>
        <v>6022.562999999998</v>
      </c>
      <c r="J142" s="240"/>
      <c r="K142" s="241"/>
      <c r="L142" s="338"/>
      <c r="M142" s="272">
        <f>SUM(M148+M180)</f>
        <v>98939.4</v>
      </c>
      <c r="N142" s="239">
        <f>SUM(N148+N180)</f>
        <v>117110</v>
      </c>
      <c r="O142" s="140">
        <f>SUM(O148+O180)</f>
        <v>18170.600000000006</v>
      </c>
      <c r="P142" s="240"/>
      <c r="Q142" s="241"/>
      <c r="R142" s="338"/>
      <c r="S142" s="272">
        <f>SUM(S148+S180)</f>
        <v>99597.7</v>
      </c>
      <c r="T142" s="239">
        <f>SUM(T148+T180)</f>
        <v>113703</v>
      </c>
      <c r="U142" s="140">
        <f>SUM(U148+U180)</f>
        <v>14105.300000000003</v>
      </c>
      <c r="V142" s="240"/>
      <c r="W142" s="241"/>
      <c r="X142" s="83"/>
    </row>
    <row r="143" spans="1:24" s="7" customFormat="1" ht="15" customHeight="1">
      <c r="A143" s="76" t="s">
        <v>298</v>
      </c>
      <c r="B143" s="9" t="s">
        <v>8</v>
      </c>
      <c r="C143" s="256"/>
      <c r="D143" s="238">
        <f aca="true" t="shared" si="51" ref="D143:I143">SUM(D181)</f>
        <v>7508.806</v>
      </c>
      <c r="E143" s="239">
        <f t="shared" si="51"/>
        <v>7508.806</v>
      </c>
      <c r="F143" s="355">
        <f t="shared" si="51"/>
        <v>0</v>
      </c>
      <c r="G143" s="272">
        <f>SUM(G181)</f>
        <v>0</v>
      </c>
      <c r="H143" s="239">
        <f>SUM(H181)</f>
        <v>0</v>
      </c>
      <c r="I143" s="140">
        <f t="shared" si="51"/>
        <v>0</v>
      </c>
      <c r="J143" s="240"/>
      <c r="K143" s="241"/>
      <c r="L143" s="338"/>
      <c r="M143" s="272">
        <f>SUM(M181)</f>
        <v>0</v>
      </c>
      <c r="N143" s="239">
        <f>SUM(N181)</f>
        <v>0</v>
      </c>
      <c r="O143" s="140">
        <f>SUM(O181)</f>
        <v>0</v>
      </c>
      <c r="P143" s="240"/>
      <c r="Q143" s="241"/>
      <c r="R143" s="338"/>
      <c r="S143" s="272">
        <f>SUM(S181)</f>
        <v>0</v>
      </c>
      <c r="T143" s="239">
        <f>SUM(T181)</f>
        <v>0</v>
      </c>
      <c r="U143" s="140">
        <f>SUM(U181)</f>
        <v>0</v>
      </c>
      <c r="V143" s="240"/>
      <c r="W143" s="241"/>
      <c r="X143" s="83"/>
    </row>
    <row r="144" spans="1:24" s="7" customFormat="1" ht="15" customHeight="1">
      <c r="A144" s="76" t="s">
        <v>299</v>
      </c>
      <c r="B144" s="9" t="s">
        <v>9</v>
      </c>
      <c r="C144" s="256"/>
      <c r="D144" s="238">
        <f aca="true" t="shared" si="52" ref="D144:I144">SUM(D150+D182)</f>
        <v>1428312.0699999998</v>
      </c>
      <c r="E144" s="239">
        <f t="shared" si="52"/>
        <v>1468584.0699999998</v>
      </c>
      <c r="F144" s="355">
        <f t="shared" si="52"/>
        <v>40272</v>
      </c>
      <c r="G144" s="272">
        <f>SUM(G150+G182)</f>
        <v>204173</v>
      </c>
      <c r="H144" s="239">
        <f>SUM(H150+H182)</f>
        <v>214313</v>
      </c>
      <c r="I144" s="140">
        <f t="shared" si="52"/>
        <v>10140</v>
      </c>
      <c r="J144" s="240"/>
      <c r="K144" s="241"/>
      <c r="L144" s="338"/>
      <c r="M144" s="272">
        <f>SUM(M150+M182)</f>
        <v>204173</v>
      </c>
      <c r="N144" s="239">
        <f>SUM(N150+N182)</f>
        <v>216188</v>
      </c>
      <c r="O144" s="140">
        <f>SUM(O150+O182)</f>
        <v>12015</v>
      </c>
      <c r="P144" s="240"/>
      <c r="Q144" s="241"/>
      <c r="R144" s="338"/>
      <c r="S144" s="272">
        <f>SUM(S150+S182)</f>
        <v>204173</v>
      </c>
      <c r="T144" s="239">
        <f>SUM(T150+T182)</f>
        <v>222290</v>
      </c>
      <c r="U144" s="140">
        <f>SUM(U150+U182)</f>
        <v>18117</v>
      </c>
      <c r="V144" s="240"/>
      <c r="W144" s="241"/>
      <c r="X144" s="83"/>
    </row>
    <row r="145" spans="1:24" s="7" customFormat="1" ht="15" customHeight="1">
      <c r="A145" s="76" t="s">
        <v>300</v>
      </c>
      <c r="B145" s="9" t="s">
        <v>10</v>
      </c>
      <c r="C145" s="256"/>
      <c r="D145" s="238">
        <f aca="true" t="shared" si="53" ref="D145:I145">SUM(D183)</f>
        <v>18697.4</v>
      </c>
      <c r="E145" s="239">
        <f t="shared" si="53"/>
        <v>18697.4</v>
      </c>
      <c r="F145" s="355">
        <f t="shared" si="53"/>
        <v>0</v>
      </c>
      <c r="G145" s="272">
        <f>SUM(G183)</f>
        <v>3200</v>
      </c>
      <c r="H145" s="239">
        <f>SUM(H183)</f>
        <v>3200</v>
      </c>
      <c r="I145" s="140">
        <f t="shared" si="53"/>
        <v>0</v>
      </c>
      <c r="J145" s="240"/>
      <c r="K145" s="241"/>
      <c r="L145" s="338"/>
      <c r="M145" s="272">
        <f>SUM(M183)</f>
        <v>3200</v>
      </c>
      <c r="N145" s="239">
        <f>SUM(N183)</f>
        <v>3200</v>
      </c>
      <c r="O145" s="140">
        <f>SUM(O183)</f>
        <v>0</v>
      </c>
      <c r="P145" s="240"/>
      <c r="Q145" s="241"/>
      <c r="R145" s="338"/>
      <c r="S145" s="272">
        <f>SUM(S183)</f>
        <v>3200</v>
      </c>
      <c r="T145" s="239">
        <f>SUM(T183)</f>
        <v>3200</v>
      </c>
      <c r="U145" s="140">
        <f>SUM(U183)</f>
        <v>0</v>
      </c>
      <c r="V145" s="240"/>
      <c r="W145" s="241"/>
      <c r="X145" s="83"/>
    </row>
    <row r="146" spans="1:24" s="7" customFormat="1" ht="15" customHeight="1">
      <c r="A146" s="126"/>
      <c r="B146" s="261"/>
      <c r="C146" s="302"/>
      <c r="D146" s="389" t="s">
        <v>11</v>
      </c>
      <c r="E146" s="390"/>
      <c r="F146" s="390"/>
      <c r="G146" s="390"/>
      <c r="H146" s="390"/>
      <c r="I146" s="390"/>
      <c r="J146" s="390"/>
      <c r="K146" s="390"/>
      <c r="L146" s="391"/>
      <c r="M146" s="400" t="s">
        <v>11</v>
      </c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</row>
    <row r="147" spans="1:24" s="24" customFormat="1" ht="36.75" customHeight="1">
      <c r="A147" s="76" t="s">
        <v>301</v>
      </c>
      <c r="B147" s="26" t="s">
        <v>32</v>
      </c>
      <c r="C147" s="256"/>
      <c r="D147" s="264">
        <f aca="true" t="shared" si="54" ref="D147:I147">SUM(D148:D150)</f>
        <v>0</v>
      </c>
      <c r="E147" s="265">
        <f t="shared" si="54"/>
        <v>0</v>
      </c>
      <c r="F147" s="361">
        <f t="shared" si="54"/>
        <v>0</v>
      </c>
      <c r="G147" s="264">
        <f>SUM(G148:G150)</f>
        <v>0</v>
      </c>
      <c r="H147" s="265">
        <f>SUM(H148:H150)</f>
        <v>0</v>
      </c>
      <c r="I147" s="144">
        <f t="shared" si="54"/>
        <v>0</v>
      </c>
      <c r="J147" s="266"/>
      <c r="K147" s="267"/>
      <c r="L147" s="343"/>
      <c r="M147" s="264">
        <f>SUM(M148:M150)</f>
        <v>0</v>
      </c>
      <c r="N147" s="265">
        <f>SUM(N148:N150)</f>
        <v>0</v>
      </c>
      <c r="O147" s="144">
        <f>SUM(O148:O150)</f>
        <v>0</v>
      </c>
      <c r="P147" s="266"/>
      <c r="Q147" s="267"/>
      <c r="R147" s="343"/>
      <c r="S147" s="264">
        <f>SUM(S148:S150)</f>
        <v>0</v>
      </c>
      <c r="T147" s="265">
        <f>SUM(T148:T150)</f>
        <v>0</v>
      </c>
      <c r="U147" s="144">
        <f>SUM(U148:U150)</f>
        <v>0</v>
      </c>
      <c r="V147" s="266"/>
      <c r="W147" s="267"/>
      <c r="X147" s="90"/>
    </row>
    <row r="148" spans="1:24" s="7" customFormat="1" ht="15" customHeight="1">
      <c r="A148" s="76" t="s">
        <v>302</v>
      </c>
      <c r="B148" s="9" t="s">
        <v>7</v>
      </c>
      <c r="C148" s="256"/>
      <c r="D148" s="238">
        <f aca="true" t="shared" si="55" ref="D148:I148">SUM(D154+D165)</f>
        <v>0</v>
      </c>
      <c r="E148" s="239">
        <f t="shared" si="55"/>
        <v>0</v>
      </c>
      <c r="F148" s="355">
        <f>SUM(F154+F165)</f>
        <v>0</v>
      </c>
      <c r="G148" s="272">
        <f>SUM(G154+G165)</f>
        <v>0</v>
      </c>
      <c r="H148" s="239">
        <f>SUM(H154+H165)</f>
        <v>0</v>
      </c>
      <c r="I148" s="140">
        <f t="shared" si="55"/>
        <v>0</v>
      </c>
      <c r="J148" s="240"/>
      <c r="K148" s="241"/>
      <c r="L148" s="338"/>
      <c r="M148" s="272">
        <f>SUM(M154+M165)</f>
        <v>0</v>
      </c>
      <c r="N148" s="239">
        <f>SUM(N154+N165)</f>
        <v>0</v>
      </c>
      <c r="O148" s="140">
        <f>SUM(O154+O165)</f>
        <v>0</v>
      </c>
      <c r="P148" s="240"/>
      <c r="Q148" s="241"/>
      <c r="R148" s="338"/>
      <c r="S148" s="272">
        <f>SUM(S154+S165)</f>
        <v>0</v>
      </c>
      <c r="T148" s="239">
        <f>SUM(T154+T165)</f>
        <v>0</v>
      </c>
      <c r="U148" s="140">
        <f>SUM(U154+U165)</f>
        <v>0</v>
      </c>
      <c r="V148" s="240"/>
      <c r="W148" s="241"/>
      <c r="X148" s="83"/>
    </row>
    <row r="149" spans="1:24" s="7" customFormat="1" ht="15" customHeight="1">
      <c r="A149" s="76" t="s">
        <v>303</v>
      </c>
      <c r="B149" s="9" t="s">
        <v>8</v>
      </c>
      <c r="C149" s="256"/>
      <c r="D149" s="238"/>
      <c r="E149" s="239"/>
      <c r="F149" s="355"/>
      <c r="G149" s="272"/>
      <c r="H149" s="239"/>
      <c r="I149" s="140"/>
      <c r="J149" s="240"/>
      <c r="K149" s="241"/>
      <c r="L149" s="338"/>
      <c r="M149" s="272"/>
      <c r="N149" s="239"/>
      <c r="O149" s="140"/>
      <c r="P149" s="240"/>
      <c r="Q149" s="241"/>
      <c r="R149" s="338"/>
      <c r="S149" s="272"/>
      <c r="T149" s="239"/>
      <c r="U149" s="140"/>
      <c r="V149" s="240"/>
      <c r="W149" s="241"/>
      <c r="X149" s="83"/>
    </row>
    <row r="150" spans="1:24" s="7" customFormat="1" ht="15" customHeight="1">
      <c r="A150" s="76" t="s">
        <v>304</v>
      </c>
      <c r="B150" s="9" t="s">
        <v>9</v>
      </c>
      <c r="C150" s="256"/>
      <c r="D150" s="238">
        <f aca="true" t="shared" si="56" ref="D150:I150">SUM(D156+D166)</f>
        <v>0</v>
      </c>
      <c r="E150" s="239">
        <f t="shared" si="56"/>
        <v>0</v>
      </c>
      <c r="F150" s="355">
        <f t="shared" si="56"/>
        <v>0</v>
      </c>
      <c r="G150" s="272">
        <f>SUM(G156+G166)</f>
        <v>0</v>
      </c>
      <c r="H150" s="239">
        <f>SUM(H156+H166)</f>
        <v>0</v>
      </c>
      <c r="I150" s="140">
        <f t="shared" si="56"/>
        <v>0</v>
      </c>
      <c r="J150" s="240"/>
      <c r="K150" s="241"/>
      <c r="L150" s="338"/>
      <c r="M150" s="272">
        <f>SUM(M156+M166)</f>
        <v>0</v>
      </c>
      <c r="N150" s="239">
        <f>SUM(N156+N166)</f>
        <v>0</v>
      </c>
      <c r="O150" s="140">
        <f>SUM(O156+O166)</f>
        <v>0</v>
      </c>
      <c r="P150" s="240"/>
      <c r="Q150" s="241"/>
      <c r="R150" s="338"/>
      <c r="S150" s="272">
        <f>SUM(S156+S166)</f>
        <v>0</v>
      </c>
      <c r="T150" s="239">
        <f>SUM(T156+T166)</f>
        <v>0</v>
      </c>
      <c r="U150" s="140">
        <f>SUM(U156+U166)</f>
        <v>0</v>
      </c>
      <c r="V150" s="240"/>
      <c r="W150" s="241"/>
      <c r="X150" s="83"/>
    </row>
    <row r="151" spans="1:24" s="7" customFormat="1" ht="15" customHeight="1">
      <c r="A151" s="76"/>
      <c r="B151" s="9"/>
      <c r="C151" s="256"/>
      <c r="D151" s="272"/>
      <c r="E151" s="273"/>
      <c r="F151" s="366"/>
      <c r="G151" s="363"/>
      <c r="H151" s="273"/>
      <c r="I151" s="145"/>
      <c r="J151" s="274"/>
      <c r="K151" s="275"/>
      <c r="L151" s="338"/>
      <c r="M151" s="272"/>
      <c r="N151" s="273"/>
      <c r="O151" s="145"/>
      <c r="P151" s="274"/>
      <c r="Q151" s="275"/>
      <c r="R151" s="338"/>
      <c r="S151" s="272"/>
      <c r="T151" s="273"/>
      <c r="U151" s="145"/>
      <c r="V151" s="274"/>
      <c r="W151" s="275"/>
      <c r="X151" s="118"/>
    </row>
    <row r="152" spans="1:24" s="7" customFormat="1" ht="15" customHeight="1">
      <c r="A152" s="127"/>
      <c r="B152" s="303"/>
      <c r="C152" s="304"/>
      <c r="D152" s="402" t="s">
        <v>12</v>
      </c>
      <c r="E152" s="403"/>
      <c r="F152" s="403"/>
      <c r="G152" s="403"/>
      <c r="H152" s="403"/>
      <c r="I152" s="403"/>
      <c r="J152" s="403"/>
      <c r="K152" s="403"/>
      <c r="L152" s="420"/>
      <c r="M152" s="403" t="s">
        <v>12</v>
      </c>
      <c r="N152" s="403"/>
      <c r="O152" s="403"/>
      <c r="P152" s="403"/>
      <c r="Q152" s="403"/>
      <c r="R152" s="403"/>
      <c r="S152" s="403"/>
      <c r="T152" s="403"/>
      <c r="U152" s="403"/>
      <c r="V152" s="403"/>
      <c r="W152" s="403"/>
      <c r="X152" s="403"/>
    </row>
    <row r="153" spans="1:24" s="24" customFormat="1" ht="52.5" customHeight="1">
      <c r="A153" s="76" t="s">
        <v>477</v>
      </c>
      <c r="B153" s="26" t="s">
        <v>99</v>
      </c>
      <c r="C153" s="256"/>
      <c r="D153" s="264">
        <f aca="true" t="shared" si="57" ref="D153:I153">SUM(D154:D156)</f>
        <v>0</v>
      </c>
      <c r="E153" s="265">
        <f t="shared" si="57"/>
        <v>0</v>
      </c>
      <c r="F153" s="361">
        <f t="shared" si="57"/>
        <v>0</v>
      </c>
      <c r="G153" s="264">
        <f>SUM(G154:G156)</f>
        <v>0</v>
      </c>
      <c r="H153" s="265">
        <f>SUM(H154:H156)</f>
        <v>0</v>
      </c>
      <c r="I153" s="144">
        <f t="shared" si="57"/>
        <v>0</v>
      </c>
      <c r="J153" s="266"/>
      <c r="K153" s="267"/>
      <c r="L153" s="343"/>
      <c r="M153" s="264">
        <f>SUM(M154:M156)</f>
        <v>0</v>
      </c>
      <c r="N153" s="265">
        <f>SUM(N154:N156)</f>
        <v>0</v>
      </c>
      <c r="O153" s="144">
        <f>SUM(O154:O156)</f>
        <v>0</v>
      </c>
      <c r="P153" s="266"/>
      <c r="Q153" s="267"/>
      <c r="R153" s="343"/>
      <c r="S153" s="264">
        <f>SUM(S154:S156)</f>
        <v>0</v>
      </c>
      <c r="T153" s="265">
        <f>SUM(T154:T156)</f>
        <v>0</v>
      </c>
      <c r="U153" s="144">
        <f>SUM(U154:U156)</f>
        <v>0</v>
      </c>
      <c r="V153" s="266"/>
      <c r="W153" s="267"/>
      <c r="X153" s="90"/>
    </row>
    <row r="154" spans="1:24" s="7" customFormat="1" ht="15" customHeight="1">
      <c r="A154" s="76" t="s">
        <v>305</v>
      </c>
      <c r="B154" s="9" t="s">
        <v>7</v>
      </c>
      <c r="C154" s="256"/>
      <c r="D154" s="272">
        <f>SUM(D159)</f>
        <v>0</v>
      </c>
      <c r="E154" s="273">
        <f aca="true" t="shared" si="58" ref="E154:I156">SUM(E159)</f>
        <v>0</v>
      </c>
      <c r="F154" s="355">
        <f t="shared" si="58"/>
        <v>0</v>
      </c>
      <c r="G154" s="272">
        <f aca="true" t="shared" si="59" ref="G154:H156">SUM(G159)</f>
        <v>0</v>
      </c>
      <c r="H154" s="273">
        <f t="shared" si="59"/>
        <v>0</v>
      </c>
      <c r="I154" s="145">
        <f t="shared" si="58"/>
        <v>0</v>
      </c>
      <c r="J154" s="274"/>
      <c r="K154" s="275"/>
      <c r="L154" s="338"/>
      <c r="M154" s="272">
        <f aca="true" t="shared" si="60" ref="M154:N156">SUM(M159)</f>
        <v>0</v>
      </c>
      <c r="N154" s="273">
        <f t="shared" si="60"/>
        <v>0</v>
      </c>
      <c r="O154" s="145">
        <f>SUM(O159)</f>
        <v>0</v>
      </c>
      <c r="P154" s="274"/>
      <c r="Q154" s="275"/>
      <c r="R154" s="338"/>
      <c r="S154" s="272">
        <f>SUM(S159)</f>
        <v>0</v>
      </c>
      <c r="T154" s="273">
        <f aca="true" t="shared" si="61" ref="T154:U156">SUM(T159)</f>
        <v>0</v>
      </c>
      <c r="U154" s="145">
        <f t="shared" si="61"/>
        <v>0</v>
      </c>
      <c r="V154" s="274"/>
      <c r="W154" s="275"/>
      <c r="X154" s="118"/>
    </row>
    <row r="155" spans="1:24" s="7" customFormat="1" ht="15" customHeight="1">
      <c r="A155" s="76" t="s">
        <v>306</v>
      </c>
      <c r="B155" s="9" t="s">
        <v>8</v>
      </c>
      <c r="C155" s="256"/>
      <c r="D155" s="272">
        <f>SUM(D160)</f>
        <v>0</v>
      </c>
      <c r="E155" s="273">
        <f t="shared" si="58"/>
        <v>0</v>
      </c>
      <c r="F155" s="355">
        <f t="shared" si="58"/>
        <v>0</v>
      </c>
      <c r="G155" s="272">
        <f t="shared" si="59"/>
        <v>0</v>
      </c>
      <c r="H155" s="273">
        <f t="shared" si="59"/>
        <v>0</v>
      </c>
      <c r="I155" s="145">
        <f t="shared" si="58"/>
        <v>0</v>
      </c>
      <c r="J155" s="274"/>
      <c r="K155" s="275"/>
      <c r="L155" s="338"/>
      <c r="M155" s="272">
        <f t="shared" si="60"/>
        <v>0</v>
      </c>
      <c r="N155" s="273">
        <f t="shared" si="60"/>
        <v>0</v>
      </c>
      <c r="O155" s="145">
        <f>SUM(O160)</f>
        <v>0</v>
      </c>
      <c r="P155" s="274"/>
      <c r="Q155" s="275"/>
      <c r="R155" s="338"/>
      <c r="S155" s="272">
        <f>SUM(S160)</f>
        <v>0</v>
      </c>
      <c r="T155" s="273">
        <f t="shared" si="61"/>
        <v>0</v>
      </c>
      <c r="U155" s="145">
        <f t="shared" si="61"/>
        <v>0</v>
      </c>
      <c r="V155" s="274"/>
      <c r="W155" s="275"/>
      <c r="X155" s="118"/>
    </row>
    <row r="156" spans="1:24" s="7" customFormat="1" ht="15" customHeight="1">
      <c r="A156" s="76" t="s">
        <v>307</v>
      </c>
      <c r="B156" s="9" t="s">
        <v>9</v>
      </c>
      <c r="C156" s="256"/>
      <c r="D156" s="272">
        <f>SUM(D161)</f>
        <v>0</v>
      </c>
      <c r="E156" s="273">
        <f t="shared" si="58"/>
        <v>0</v>
      </c>
      <c r="F156" s="355">
        <f t="shared" si="58"/>
        <v>0</v>
      </c>
      <c r="G156" s="272">
        <f t="shared" si="59"/>
        <v>0</v>
      </c>
      <c r="H156" s="273">
        <f t="shared" si="59"/>
        <v>0</v>
      </c>
      <c r="I156" s="145">
        <f t="shared" si="58"/>
        <v>0</v>
      </c>
      <c r="J156" s="274"/>
      <c r="K156" s="275"/>
      <c r="L156" s="338"/>
      <c r="M156" s="272">
        <f t="shared" si="60"/>
        <v>0</v>
      </c>
      <c r="N156" s="273">
        <f t="shared" si="60"/>
        <v>0</v>
      </c>
      <c r="O156" s="145">
        <f>SUM(O161)</f>
        <v>0</v>
      </c>
      <c r="P156" s="274"/>
      <c r="Q156" s="275"/>
      <c r="R156" s="338"/>
      <c r="S156" s="272">
        <f>SUM(S161)</f>
        <v>0</v>
      </c>
      <c r="T156" s="273">
        <f t="shared" si="61"/>
        <v>0</v>
      </c>
      <c r="U156" s="145">
        <f t="shared" si="61"/>
        <v>0</v>
      </c>
      <c r="V156" s="274"/>
      <c r="W156" s="275"/>
      <c r="X156" s="118"/>
    </row>
    <row r="157" spans="1:24" s="7" customFormat="1" ht="15" customHeight="1">
      <c r="A157" s="76"/>
      <c r="B157" s="9"/>
      <c r="C157" s="256"/>
      <c r="D157" s="272"/>
      <c r="E157" s="273"/>
      <c r="F157" s="355"/>
      <c r="G157" s="272"/>
      <c r="H157" s="273"/>
      <c r="I157" s="145"/>
      <c r="J157" s="274"/>
      <c r="K157" s="275"/>
      <c r="L157" s="338"/>
      <c r="M157" s="272"/>
      <c r="N157" s="273"/>
      <c r="O157" s="145"/>
      <c r="P157" s="274"/>
      <c r="Q157" s="275"/>
      <c r="R157" s="338"/>
      <c r="S157" s="272"/>
      <c r="T157" s="273"/>
      <c r="U157" s="145"/>
      <c r="V157" s="274"/>
      <c r="W157" s="275"/>
      <c r="X157" s="118"/>
    </row>
    <row r="158" spans="1:24" s="7" customFormat="1" ht="62.25" customHeight="1">
      <c r="A158" s="76" t="s">
        <v>308</v>
      </c>
      <c r="B158" s="26" t="s">
        <v>130</v>
      </c>
      <c r="C158" s="305" t="s">
        <v>575</v>
      </c>
      <c r="D158" s="264">
        <f aca="true" t="shared" si="62" ref="D158:I158">SUM(D159:D161)</f>
        <v>0</v>
      </c>
      <c r="E158" s="265">
        <f t="shared" si="62"/>
        <v>0</v>
      </c>
      <c r="F158" s="361">
        <f t="shared" si="62"/>
        <v>0</v>
      </c>
      <c r="G158" s="264">
        <f>SUM(G159:G161)</f>
        <v>0</v>
      </c>
      <c r="H158" s="265">
        <f>SUM(H159:H161)</f>
        <v>0</v>
      </c>
      <c r="I158" s="144">
        <f t="shared" si="62"/>
        <v>0</v>
      </c>
      <c r="J158" s="306" t="s">
        <v>576</v>
      </c>
      <c r="K158" s="307" t="s">
        <v>576</v>
      </c>
      <c r="L158" s="346" t="s">
        <v>577</v>
      </c>
      <c r="M158" s="264">
        <f>SUM(M159:M161)</f>
        <v>0</v>
      </c>
      <c r="N158" s="265">
        <f>SUM(N159:N161)</f>
        <v>0</v>
      </c>
      <c r="O158" s="144">
        <f>SUM(O159:O161)</f>
        <v>0</v>
      </c>
      <c r="P158" s="306" t="s">
        <v>576</v>
      </c>
      <c r="Q158" s="307" t="s">
        <v>576</v>
      </c>
      <c r="R158" s="346" t="s">
        <v>695</v>
      </c>
      <c r="S158" s="264">
        <f>SUM(S159:S161)</f>
        <v>0</v>
      </c>
      <c r="T158" s="265">
        <f>SUM(T159:T161)</f>
        <v>0</v>
      </c>
      <c r="U158" s="144">
        <f>SUM(U159:U161)</f>
        <v>0</v>
      </c>
      <c r="V158" s="306" t="s">
        <v>578</v>
      </c>
      <c r="W158" s="307" t="s">
        <v>578</v>
      </c>
      <c r="X158" s="308" t="s">
        <v>696</v>
      </c>
    </row>
    <row r="159" spans="1:24" s="7" customFormat="1" ht="15" customHeight="1">
      <c r="A159" s="76" t="s">
        <v>309</v>
      </c>
      <c r="B159" s="9" t="s">
        <v>7</v>
      </c>
      <c r="C159" s="256"/>
      <c r="D159" s="238"/>
      <c r="E159" s="239"/>
      <c r="F159" s="355">
        <f>E159-D159</f>
        <v>0</v>
      </c>
      <c r="G159" s="272"/>
      <c r="H159" s="239"/>
      <c r="I159" s="140">
        <f>H159-G159</f>
        <v>0</v>
      </c>
      <c r="J159" s="240"/>
      <c r="K159" s="241"/>
      <c r="L159" s="338"/>
      <c r="M159" s="238"/>
      <c r="N159" s="239"/>
      <c r="O159" s="140">
        <f>N159-M159</f>
        <v>0</v>
      </c>
      <c r="P159" s="240"/>
      <c r="Q159" s="241"/>
      <c r="R159" s="338"/>
      <c r="S159" s="272"/>
      <c r="T159" s="239"/>
      <c r="U159" s="140">
        <f>T159-S159</f>
        <v>0</v>
      </c>
      <c r="V159" s="240"/>
      <c r="W159" s="241"/>
      <c r="X159" s="83"/>
    </row>
    <row r="160" spans="1:24" s="7" customFormat="1" ht="15" customHeight="1">
      <c r="A160" s="76" t="s">
        <v>310</v>
      </c>
      <c r="B160" s="9" t="s">
        <v>8</v>
      </c>
      <c r="C160" s="256"/>
      <c r="D160" s="238"/>
      <c r="E160" s="239"/>
      <c r="F160" s="355">
        <f>E160-D160</f>
        <v>0</v>
      </c>
      <c r="G160" s="272"/>
      <c r="H160" s="239"/>
      <c r="I160" s="140">
        <f>H160-G160</f>
        <v>0</v>
      </c>
      <c r="J160" s="240"/>
      <c r="K160" s="241"/>
      <c r="L160" s="338"/>
      <c r="M160" s="238"/>
      <c r="N160" s="239"/>
      <c r="O160" s="140">
        <f>N160-M160</f>
        <v>0</v>
      </c>
      <c r="P160" s="240"/>
      <c r="Q160" s="241"/>
      <c r="R160" s="338"/>
      <c r="S160" s="272"/>
      <c r="T160" s="239"/>
      <c r="U160" s="140">
        <f>T160-S160</f>
        <v>0</v>
      </c>
      <c r="V160" s="240"/>
      <c r="W160" s="241"/>
      <c r="X160" s="83"/>
    </row>
    <row r="161" spans="1:24" s="7" customFormat="1" ht="15" customHeight="1">
      <c r="A161" s="76" t="s">
        <v>311</v>
      </c>
      <c r="B161" s="9" t="s">
        <v>9</v>
      </c>
      <c r="C161" s="256"/>
      <c r="D161" s="238"/>
      <c r="E161" s="239"/>
      <c r="F161" s="355">
        <f>E161-D161</f>
        <v>0</v>
      </c>
      <c r="G161" s="272"/>
      <c r="H161" s="239"/>
      <c r="I161" s="140">
        <f>H161-G161</f>
        <v>0</v>
      </c>
      <c r="J161" s="240"/>
      <c r="K161" s="241"/>
      <c r="L161" s="338"/>
      <c r="M161" s="238"/>
      <c r="N161" s="239"/>
      <c r="O161" s="140">
        <f>N161-M161</f>
        <v>0</v>
      </c>
      <c r="P161" s="240"/>
      <c r="Q161" s="241"/>
      <c r="R161" s="338"/>
      <c r="S161" s="272"/>
      <c r="T161" s="239"/>
      <c r="U161" s="140">
        <f>T161-S161</f>
        <v>0</v>
      </c>
      <c r="V161" s="240"/>
      <c r="W161" s="241"/>
      <c r="X161" s="83"/>
    </row>
    <row r="162" spans="1:24" s="7" customFormat="1" ht="15" customHeight="1">
      <c r="A162" s="76"/>
      <c r="B162" s="9"/>
      <c r="C162" s="256"/>
      <c r="D162" s="272"/>
      <c r="E162" s="273"/>
      <c r="F162" s="355"/>
      <c r="G162" s="272"/>
      <c r="H162" s="273"/>
      <c r="I162" s="145"/>
      <c r="J162" s="274"/>
      <c r="K162" s="275"/>
      <c r="L162" s="338"/>
      <c r="M162" s="272"/>
      <c r="N162" s="273"/>
      <c r="O162" s="145"/>
      <c r="P162" s="274"/>
      <c r="Q162" s="275"/>
      <c r="R162" s="338"/>
      <c r="S162" s="272"/>
      <c r="T162" s="273"/>
      <c r="U162" s="145"/>
      <c r="V162" s="274"/>
      <c r="W162" s="275"/>
      <c r="X162" s="118"/>
    </row>
    <row r="163" spans="1:24" s="7" customFormat="1" ht="15" customHeight="1">
      <c r="A163" s="127"/>
      <c r="B163" s="303"/>
      <c r="C163" s="304"/>
      <c r="D163" s="402" t="s">
        <v>23</v>
      </c>
      <c r="E163" s="403"/>
      <c r="F163" s="403"/>
      <c r="G163" s="403"/>
      <c r="H163" s="403"/>
      <c r="I163" s="403"/>
      <c r="J163" s="403"/>
      <c r="K163" s="403"/>
      <c r="L163" s="403"/>
      <c r="M163" s="403" t="s">
        <v>23</v>
      </c>
      <c r="N163" s="403"/>
      <c r="O163" s="403"/>
      <c r="P163" s="403"/>
      <c r="Q163" s="403"/>
      <c r="R163" s="403"/>
      <c r="S163" s="403"/>
      <c r="T163" s="403"/>
      <c r="U163" s="403"/>
      <c r="V163" s="403"/>
      <c r="W163" s="403"/>
      <c r="X163" s="403"/>
    </row>
    <row r="164" spans="1:24" s="25" customFormat="1" ht="31.5" customHeight="1">
      <c r="A164" s="72" t="s">
        <v>312</v>
      </c>
      <c r="B164" s="27" t="s">
        <v>100</v>
      </c>
      <c r="C164" s="284"/>
      <c r="D164" s="285">
        <f aca="true" t="shared" si="63" ref="D164:I164">SUM(D165:D166)</f>
        <v>0</v>
      </c>
      <c r="E164" s="286">
        <f t="shared" si="63"/>
        <v>0</v>
      </c>
      <c r="F164" s="361">
        <f t="shared" si="63"/>
        <v>0</v>
      </c>
      <c r="G164" s="264">
        <f>SUM(G165:G166)</f>
        <v>0</v>
      </c>
      <c r="H164" s="286">
        <f>SUM(H165:H166)</f>
        <v>0</v>
      </c>
      <c r="I164" s="143">
        <f t="shared" si="63"/>
        <v>0</v>
      </c>
      <c r="J164" s="288"/>
      <c r="K164" s="289"/>
      <c r="L164" s="343"/>
      <c r="M164" s="285">
        <f>SUM(M165:M166)</f>
        <v>0</v>
      </c>
      <c r="N164" s="286">
        <f>SUM(N165:N166)</f>
        <v>0</v>
      </c>
      <c r="O164" s="143">
        <f>SUM(O165:O166)</f>
        <v>0</v>
      </c>
      <c r="P164" s="288"/>
      <c r="Q164" s="289"/>
      <c r="R164" s="343"/>
      <c r="S164" s="264">
        <f>SUM(S165:S166)</f>
        <v>0</v>
      </c>
      <c r="T164" s="286">
        <f>SUM(T165:T166)</f>
        <v>0</v>
      </c>
      <c r="U164" s="143">
        <f>SUM(U165:U166)</f>
        <v>0</v>
      </c>
      <c r="V164" s="288"/>
      <c r="W164" s="289"/>
      <c r="X164" s="85"/>
    </row>
    <row r="165" spans="1:24" s="13" customFormat="1" ht="15" customHeight="1">
      <c r="A165" s="72" t="s">
        <v>313</v>
      </c>
      <c r="B165" s="22" t="s">
        <v>7</v>
      </c>
      <c r="C165" s="284"/>
      <c r="D165" s="238">
        <f>SUM(D169)</f>
        <v>0</v>
      </c>
      <c r="E165" s="239">
        <f>SUM(E169)</f>
        <v>0</v>
      </c>
      <c r="F165" s="355">
        <f aca="true" t="shared" si="64" ref="F165:I166">SUM(F169)</f>
        <v>0</v>
      </c>
      <c r="G165" s="272">
        <f t="shared" si="64"/>
        <v>0</v>
      </c>
      <c r="H165" s="239">
        <f t="shared" si="64"/>
        <v>0</v>
      </c>
      <c r="I165" s="140">
        <f t="shared" si="64"/>
        <v>0</v>
      </c>
      <c r="J165" s="240"/>
      <c r="K165" s="241"/>
      <c r="L165" s="338"/>
      <c r="M165" s="238">
        <f aca="true" t="shared" si="65" ref="M165:O166">SUM(M169)</f>
        <v>0</v>
      </c>
      <c r="N165" s="239">
        <f t="shared" si="65"/>
        <v>0</v>
      </c>
      <c r="O165" s="140">
        <f t="shared" si="65"/>
        <v>0</v>
      </c>
      <c r="P165" s="240"/>
      <c r="Q165" s="241"/>
      <c r="R165" s="338"/>
      <c r="S165" s="272">
        <f aca="true" t="shared" si="66" ref="S165:U166">SUM(S169)</f>
        <v>0</v>
      </c>
      <c r="T165" s="239">
        <f t="shared" si="66"/>
        <v>0</v>
      </c>
      <c r="U165" s="140">
        <f t="shared" si="66"/>
        <v>0</v>
      </c>
      <c r="V165" s="240"/>
      <c r="W165" s="241"/>
      <c r="X165" s="83"/>
    </row>
    <row r="166" spans="1:24" s="13" customFormat="1" ht="15" customHeight="1">
      <c r="A166" s="72" t="s">
        <v>314</v>
      </c>
      <c r="B166" s="22" t="s">
        <v>9</v>
      </c>
      <c r="C166" s="284"/>
      <c r="D166" s="238">
        <f>SUM(D170)</f>
        <v>0</v>
      </c>
      <c r="E166" s="239">
        <f>SUM(E170)</f>
        <v>0</v>
      </c>
      <c r="F166" s="355">
        <f t="shared" si="64"/>
        <v>0</v>
      </c>
      <c r="G166" s="272">
        <f t="shared" si="64"/>
        <v>0</v>
      </c>
      <c r="H166" s="239">
        <f t="shared" si="64"/>
        <v>0</v>
      </c>
      <c r="I166" s="140">
        <f t="shared" si="64"/>
        <v>0</v>
      </c>
      <c r="J166" s="240"/>
      <c r="K166" s="241"/>
      <c r="L166" s="338"/>
      <c r="M166" s="238">
        <f t="shared" si="65"/>
        <v>0</v>
      </c>
      <c r="N166" s="239">
        <f t="shared" si="65"/>
        <v>0</v>
      </c>
      <c r="O166" s="140">
        <f t="shared" si="65"/>
        <v>0</v>
      </c>
      <c r="P166" s="240"/>
      <c r="Q166" s="241"/>
      <c r="R166" s="338"/>
      <c r="S166" s="272">
        <f t="shared" si="66"/>
        <v>0</v>
      </c>
      <c r="T166" s="239">
        <f t="shared" si="66"/>
        <v>0</v>
      </c>
      <c r="U166" s="140">
        <f t="shared" si="66"/>
        <v>0</v>
      </c>
      <c r="V166" s="240"/>
      <c r="W166" s="241"/>
      <c r="X166" s="83"/>
    </row>
    <row r="167" spans="1:24" s="13" customFormat="1" ht="15" customHeight="1">
      <c r="A167" s="72"/>
      <c r="B167" s="22"/>
      <c r="C167" s="284"/>
      <c r="D167" s="272"/>
      <c r="E167" s="273"/>
      <c r="F167" s="355"/>
      <c r="G167" s="272"/>
      <c r="H167" s="273"/>
      <c r="I167" s="145"/>
      <c r="J167" s="274"/>
      <c r="K167" s="275"/>
      <c r="L167" s="338"/>
      <c r="M167" s="272"/>
      <c r="N167" s="273"/>
      <c r="O167" s="145"/>
      <c r="P167" s="274"/>
      <c r="Q167" s="275"/>
      <c r="R167" s="338"/>
      <c r="S167" s="272"/>
      <c r="T167" s="273"/>
      <c r="U167" s="145"/>
      <c r="V167" s="274"/>
      <c r="W167" s="275"/>
      <c r="X167" s="118"/>
    </row>
    <row r="168" spans="1:24" s="13" customFormat="1" ht="99" customHeight="1">
      <c r="A168" s="75" t="s">
        <v>315</v>
      </c>
      <c r="B168" s="176" t="s">
        <v>131</v>
      </c>
      <c r="C168" s="280" t="s">
        <v>579</v>
      </c>
      <c r="D168" s="285">
        <f aca="true" t="shared" si="67" ref="D168:I168">SUM(D169:D170)</f>
        <v>0</v>
      </c>
      <c r="E168" s="286">
        <f t="shared" si="67"/>
        <v>0</v>
      </c>
      <c r="F168" s="361">
        <f t="shared" si="67"/>
        <v>0</v>
      </c>
      <c r="G168" s="264">
        <f>SUM(G169:G170)</f>
        <v>0</v>
      </c>
      <c r="H168" s="286">
        <f>SUM(H169:H170)</f>
        <v>0</v>
      </c>
      <c r="I168" s="143">
        <f t="shared" si="67"/>
        <v>0</v>
      </c>
      <c r="J168" s="306" t="s">
        <v>576</v>
      </c>
      <c r="K168" s="307" t="s">
        <v>576</v>
      </c>
      <c r="L168" s="346" t="s">
        <v>577</v>
      </c>
      <c r="M168" s="285">
        <f>SUM(M169:M170)</f>
        <v>0</v>
      </c>
      <c r="N168" s="286">
        <f>SUM(N169:N170)</f>
        <v>0</v>
      </c>
      <c r="O168" s="143">
        <f>SUM(O169:O170)</f>
        <v>0</v>
      </c>
      <c r="P168" s="306" t="s">
        <v>576</v>
      </c>
      <c r="Q168" s="307" t="s">
        <v>576</v>
      </c>
      <c r="R168" s="346" t="s">
        <v>695</v>
      </c>
      <c r="S168" s="264">
        <f>SUM(S169:S170)</f>
        <v>0</v>
      </c>
      <c r="T168" s="286">
        <f>SUM(T169:T170)</f>
        <v>0</v>
      </c>
      <c r="U168" s="143">
        <f>SUM(U169:U170)</f>
        <v>0</v>
      </c>
      <c r="V168" s="306" t="s">
        <v>578</v>
      </c>
      <c r="W168" s="307" t="s">
        <v>578</v>
      </c>
      <c r="X168" s="308" t="s">
        <v>696</v>
      </c>
    </row>
    <row r="169" spans="1:24" s="13" customFormat="1" ht="15" customHeight="1">
      <c r="A169" s="75" t="s">
        <v>316</v>
      </c>
      <c r="B169" s="22" t="s">
        <v>7</v>
      </c>
      <c r="C169" s="284"/>
      <c r="D169" s="285">
        <f>SUM(D172+D175)</f>
        <v>0</v>
      </c>
      <c r="E169" s="286">
        <f>SUM(E172+E175)</f>
        <v>0</v>
      </c>
      <c r="F169" s="361">
        <f aca="true" t="shared" si="68" ref="F169:H170">SUM(F172+F175)</f>
        <v>0</v>
      </c>
      <c r="G169" s="264">
        <f t="shared" si="68"/>
        <v>0</v>
      </c>
      <c r="H169" s="286">
        <f t="shared" si="68"/>
        <v>0</v>
      </c>
      <c r="I169" s="143">
        <f>SUM(I172+I175)</f>
        <v>0</v>
      </c>
      <c r="J169" s="288"/>
      <c r="K169" s="289"/>
      <c r="L169" s="343"/>
      <c r="M169" s="285">
        <f aca="true" t="shared" si="69" ref="M169:O170">SUM(M172+M175)</f>
        <v>0</v>
      </c>
      <c r="N169" s="286">
        <f t="shared" si="69"/>
        <v>0</v>
      </c>
      <c r="O169" s="143">
        <f t="shared" si="69"/>
        <v>0</v>
      </c>
      <c r="P169" s="288"/>
      <c r="Q169" s="289"/>
      <c r="R169" s="343"/>
      <c r="S169" s="264">
        <f aca="true" t="shared" si="70" ref="S169:U170">SUM(S172+S175)</f>
        <v>0</v>
      </c>
      <c r="T169" s="286">
        <f t="shared" si="70"/>
        <v>0</v>
      </c>
      <c r="U169" s="143">
        <f t="shared" si="70"/>
        <v>0</v>
      </c>
      <c r="V169" s="288"/>
      <c r="W169" s="289"/>
      <c r="X169" s="85"/>
    </row>
    <row r="170" spans="1:24" s="13" customFormat="1" ht="15" customHeight="1">
      <c r="A170" s="75" t="s">
        <v>317</v>
      </c>
      <c r="B170" s="22" t="s">
        <v>9</v>
      </c>
      <c r="C170" s="284"/>
      <c r="D170" s="285">
        <f>SUM(D173+D176)</f>
        <v>0</v>
      </c>
      <c r="E170" s="286">
        <f>SUM(E173+E176)</f>
        <v>0</v>
      </c>
      <c r="F170" s="361">
        <f t="shared" si="68"/>
        <v>0</v>
      </c>
      <c r="G170" s="264">
        <f t="shared" si="68"/>
        <v>0</v>
      </c>
      <c r="H170" s="286">
        <f t="shared" si="68"/>
        <v>0</v>
      </c>
      <c r="I170" s="143">
        <f>SUM(I173+I176)</f>
        <v>0</v>
      </c>
      <c r="J170" s="288"/>
      <c r="K170" s="289"/>
      <c r="L170" s="343"/>
      <c r="M170" s="285">
        <f t="shared" si="69"/>
        <v>0</v>
      </c>
      <c r="N170" s="286">
        <f t="shared" si="69"/>
        <v>0</v>
      </c>
      <c r="O170" s="143">
        <f t="shared" si="69"/>
        <v>0</v>
      </c>
      <c r="P170" s="288"/>
      <c r="Q170" s="289"/>
      <c r="R170" s="343"/>
      <c r="S170" s="264">
        <f t="shared" si="70"/>
        <v>0</v>
      </c>
      <c r="T170" s="286">
        <f t="shared" si="70"/>
        <v>0</v>
      </c>
      <c r="U170" s="143">
        <f t="shared" si="70"/>
        <v>0</v>
      </c>
      <c r="V170" s="288"/>
      <c r="W170" s="289"/>
      <c r="X170" s="85"/>
    </row>
    <row r="171" spans="1:24" s="13" customFormat="1" ht="33" customHeight="1">
      <c r="A171" s="75"/>
      <c r="B171" s="179" t="s">
        <v>110</v>
      </c>
      <c r="C171" s="284"/>
      <c r="D171" s="238"/>
      <c r="E171" s="239"/>
      <c r="F171" s="355"/>
      <c r="G171" s="272"/>
      <c r="H171" s="239"/>
      <c r="I171" s="140"/>
      <c r="J171" s="240"/>
      <c r="K171" s="241"/>
      <c r="L171" s="338"/>
      <c r="M171" s="238"/>
      <c r="N171" s="239"/>
      <c r="O171" s="140"/>
      <c r="P171" s="240"/>
      <c r="Q171" s="241"/>
      <c r="R171" s="338"/>
      <c r="S171" s="272"/>
      <c r="T171" s="239"/>
      <c r="U171" s="140"/>
      <c r="V171" s="240"/>
      <c r="W171" s="241"/>
      <c r="X171" s="83"/>
    </row>
    <row r="172" spans="1:24" s="13" customFormat="1" ht="15" customHeight="1">
      <c r="A172" s="75" t="s">
        <v>318</v>
      </c>
      <c r="B172" s="22" t="s">
        <v>7</v>
      </c>
      <c r="C172" s="284"/>
      <c r="D172" s="238"/>
      <c r="E172" s="239"/>
      <c r="F172" s="355">
        <f>E172-D172</f>
        <v>0</v>
      </c>
      <c r="G172" s="272"/>
      <c r="H172" s="239"/>
      <c r="I172" s="140">
        <f>H172-G172</f>
        <v>0</v>
      </c>
      <c r="J172" s="240"/>
      <c r="K172" s="241"/>
      <c r="L172" s="338"/>
      <c r="M172" s="238"/>
      <c r="N172" s="239"/>
      <c r="O172" s="140">
        <f>N172-M172</f>
        <v>0</v>
      </c>
      <c r="P172" s="240"/>
      <c r="Q172" s="241"/>
      <c r="R172" s="338"/>
      <c r="S172" s="272"/>
      <c r="T172" s="239"/>
      <c r="U172" s="140">
        <f>T172-S172</f>
        <v>0</v>
      </c>
      <c r="V172" s="240"/>
      <c r="W172" s="241"/>
      <c r="X172" s="83"/>
    </row>
    <row r="173" spans="1:24" s="13" customFormat="1" ht="15" customHeight="1">
      <c r="A173" s="75" t="s">
        <v>319</v>
      </c>
      <c r="B173" s="22" t="s">
        <v>9</v>
      </c>
      <c r="C173" s="284"/>
      <c r="D173" s="238"/>
      <c r="E173" s="239"/>
      <c r="F173" s="355"/>
      <c r="G173" s="272"/>
      <c r="H173" s="239"/>
      <c r="I173" s="140"/>
      <c r="J173" s="240"/>
      <c r="K173" s="241"/>
      <c r="L173" s="338"/>
      <c r="M173" s="238"/>
      <c r="N173" s="239"/>
      <c r="O173" s="140"/>
      <c r="P173" s="240"/>
      <c r="Q173" s="241"/>
      <c r="R173" s="338"/>
      <c r="S173" s="272"/>
      <c r="T173" s="239"/>
      <c r="U173" s="140"/>
      <c r="V173" s="240"/>
      <c r="W173" s="241"/>
      <c r="X173" s="83"/>
    </row>
    <row r="174" spans="1:24" s="13" customFormat="1" ht="35.25" customHeight="1">
      <c r="A174" s="75"/>
      <c r="B174" s="179" t="s">
        <v>111</v>
      </c>
      <c r="C174" s="284"/>
      <c r="D174" s="238"/>
      <c r="E174" s="239"/>
      <c r="F174" s="355"/>
      <c r="G174" s="272"/>
      <c r="H174" s="239"/>
      <c r="I174" s="140"/>
      <c r="J174" s="240"/>
      <c r="K174" s="241"/>
      <c r="L174" s="338"/>
      <c r="M174" s="238"/>
      <c r="N174" s="239"/>
      <c r="O174" s="140"/>
      <c r="P174" s="240"/>
      <c r="Q174" s="241"/>
      <c r="R174" s="338"/>
      <c r="S174" s="272"/>
      <c r="T174" s="239"/>
      <c r="U174" s="140"/>
      <c r="V174" s="240"/>
      <c r="W174" s="241"/>
      <c r="X174" s="83"/>
    </row>
    <row r="175" spans="1:24" s="13" customFormat="1" ht="15" customHeight="1">
      <c r="A175" s="75" t="s">
        <v>320</v>
      </c>
      <c r="B175" s="22" t="s">
        <v>7</v>
      </c>
      <c r="C175" s="284"/>
      <c r="D175" s="239"/>
      <c r="E175" s="239"/>
      <c r="F175" s="355">
        <f>E175-D175</f>
        <v>0</v>
      </c>
      <c r="G175" s="272"/>
      <c r="H175" s="239"/>
      <c r="I175" s="140">
        <f>H175-G175</f>
        <v>0</v>
      </c>
      <c r="J175" s="240"/>
      <c r="K175" s="241"/>
      <c r="L175" s="338"/>
      <c r="M175" s="238"/>
      <c r="N175" s="239"/>
      <c r="O175" s="140">
        <f>N175-M175</f>
        <v>0</v>
      </c>
      <c r="P175" s="240"/>
      <c r="Q175" s="241"/>
      <c r="R175" s="338"/>
      <c r="S175" s="272"/>
      <c r="T175" s="239"/>
      <c r="U175" s="140">
        <f>T175-S175</f>
        <v>0</v>
      </c>
      <c r="V175" s="240"/>
      <c r="W175" s="241"/>
      <c r="X175" s="83"/>
    </row>
    <row r="176" spans="1:24" s="7" customFormat="1" ht="15" customHeight="1">
      <c r="A176" s="77" t="s">
        <v>321</v>
      </c>
      <c r="B176" s="9" t="s">
        <v>9</v>
      </c>
      <c r="C176" s="284"/>
      <c r="D176" s="239"/>
      <c r="E176" s="239"/>
      <c r="F176" s="355"/>
      <c r="G176" s="272"/>
      <c r="H176" s="239"/>
      <c r="I176" s="140"/>
      <c r="J176" s="240"/>
      <c r="K176" s="241"/>
      <c r="L176" s="338"/>
      <c r="M176" s="238"/>
      <c r="N176" s="239"/>
      <c r="O176" s="140"/>
      <c r="P176" s="240"/>
      <c r="Q176" s="241"/>
      <c r="R176" s="338"/>
      <c r="S176" s="272"/>
      <c r="T176" s="239"/>
      <c r="U176" s="140"/>
      <c r="V176" s="240"/>
      <c r="W176" s="241"/>
      <c r="X176" s="83"/>
    </row>
    <row r="177" spans="1:24" s="7" customFormat="1" ht="15" customHeight="1">
      <c r="A177" s="76"/>
      <c r="B177" s="9"/>
      <c r="C177" s="237"/>
      <c r="D177" s="252"/>
      <c r="E177" s="239"/>
      <c r="F177" s="355"/>
      <c r="G177" s="276"/>
      <c r="H177" s="252"/>
      <c r="I177" s="155"/>
      <c r="J177" s="253"/>
      <c r="K177" s="254"/>
      <c r="L177" s="341"/>
      <c r="M177" s="251"/>
      <c r="N177" s="252"/>
      <c r="O177" s="155"/>
      <c r="P177" s="253"/>
      <c r="Q177" s="254"/>
      <c r="R177" s="341"/>
      <c r="S177" s="276"/>
      <c r="T177" s="252"/>
      <c r="U177" s="155"/>
      <c r="V177" s="253"/>
      <c r="W177" s="254"/>
      <c r="X177" s="87"/>
    </row>
    <row r="178" spans="1:24" s="7" customFormat="1" ht="15" customHeight="1">
      <c r="A178" s="126"/>
      <c r="B178" s="261"/>
      <c r="C178" s="262"/>
      <c r="D178" s="389" t="s">
        <v>15</v>
      </c>
      <c r="E178" s="390"/>
      <c r="F178" s="390"/>
      <c r="G178" s="390"/>
      <c r="H178" s="390"/>
      <c r="I178" s="390"/>
      <c r="J178" s="390"/>
      <c r="K178" s="390"/>
      <c r="L178" s="419"/>
      <c r="M178" s="390" t="s">
        <v>15</v>
      </c>
      <c r="N178" s="390"/>
      <c r="O178" s="390"/>
      <c r="P178" s="390"/>
      <c r="Q178" s="390"/>
      <c r="R178" s="390"/>
      <c r="S178" s="390"/>
      <c r="T178" s="390"/>
      <c r="U178" s="390"/>
      <c r="V178" s="390"/>
      <c r="W178" s="390"/>
      <c r="X178" s="390"/>
    </row>
    <row r="179" spans="1:24" s="25" customFormat="1" ht="33" customHeight="1">
      <c r="A179" s="72" t="s">
        <v>322</v>
      </c>
      <c r="B179" s="27" t="s">
        <v>16</v>
      </c>
      <c r="C179" s="284"/>
      <c r="D179" s="264">
        <f aca="true" t="shared" si="71" ref="D179:I179">SUM(D180:D183)</f>
        <v>2253304.7364999996</v>
      </c>
      <c r="E179" s="265">
        <f t="shared" si="71"/>
        <v>2334943.2364999996</v>
      </c>
      <c r="F179" s="361">
        <f t="shared" si="71"/>
        <v>80720.46299999999</v>
      </c>
      <c r="G179" s="264">
        <f>SUM(G180:G183)</f>
        <v>306232.4</v>
      </c>
      <c r="H179" s="265">
        <f>SUM(H180:H183)</f>
        <v>325463</v>
      </c>
      <c r="I179" s="144">
        <f t="shared" si="71"/>
        <v>16162.562999999998</v>
      </c>
      <c r="J179" s="266"/>
      <c r="K179" s="267"/>
      <c r="L179" s="343"/>
      <c r="M179" s="264">
        <f>SUM(M180:M183)</f>
        <v>306312.4</v>
      </c>
      <c r="N179" s="265">
        <f>SUM(N180:N183)</f>
        <v>336498</v>
      </c>
      <c r="O179" s="144">
        <f>SUM(O180:O183)</f>
        <v>30185.600000000006</v>
      </c>
      <c r="P179" s="266"/>
      <c r="Q179" s="267"/>
      <c r="R179" s="343"/>
      <c r="S179" s="264">
        <f>SUM(S180:S183)</f>
        <v>306970.7</v>
      </c>
      <c r="T179" s="265">
        <f>SUM(T180:T183)</f>
        <v>339193</v>
      </c>
      <c r="U179" s="144">
        <f>SUM(U180:U183)</f>
        <v>32222.300000000003</v>
      </c>
      <c r="V179" s="266"/>
      <c r="W179" s="267"/>
      <c r="X179" s="90"/>
    </row>
    <row r="180" spans="1:24" s="13" customFormat="1" ht="15" customHeight="1">
      <c r="A180" s="72" t="s">
        <v>323</v>
      </c>
      <c r="B180" s="22" t="s">
        <v>7</v>
      </c>
      <c r="C180" s="284"/>
      <c r="D180" s="272">
        <f aca="true" t="shared" si="72" ref="D180:I180">SUM(D186+D197+D226+D237+D241+D256+D267+D271+D272+D279+D280+D287)</f>
        <v>798786.4604999999</v>
      </c>
      <c r="E180" s="273">
        <f>SUM(E186+E197+E226+E237+E241+E256+E267+E271+E272+E279+E280+E287)</f>
        <v>840152.9604999999</v>
      </c>
      <c r="F180" s="355">
        <f>SUM(F186+F197+F226+F237+F241+F256+F267+F271+F272+F279+F280+F287)</f>
        <v>40448.462999999996</v>
      </c>
      <c r="G180" s="272">
        <f t="shared" si="72"/>
        <v>98859.40000000001</v>
      </c>
      <c r="H180" s="273">
        <f t="shared" si="72"/>
        <v>107950</v>
      </c>
      <c r="I180" s="145">
        <f t="shared" si="72"/>
        <v>6022.562999999998</v>
      </c>
      <c r="J180" s="274"/>
      <c r="K180" s="275"/>
      <c r="L180" s="338"/>
      <c r="M180" s="272">
        <f>SUM(M186+M197+M226+M237+M241+M256+M267+M271+M272+M279+M280+M287)</f>
        <v>98939.4</v>
      </c>
      <c r="N180" s="273">
        <f>SUM(N186+N197+N226+N237+N241+N256+N267+N271+N272+N279+N280+N287)</f>
        <v>117110</v>
      </c>
      <c r="O180" s="145">
        <f>SUM(O186+O197+O226+O237+O241+O256+O267+O271+O272+O279+O280+O287)</f>
        <v>18170.600000000006</v>
      </c>
      <c r="P180" s="274"/>
      <c r="Q180" s="275"/>
      <c r="R180" s="338"/>
      <c r="S180" s="272">
        <f>SUM(S186+S197+S226+S237+S241+S256+S267+S271+S272+S279+S280+S287)</f>
        <v>99597.7</v>
      </c>
      <c r="T180" s="273">
        <f>SUM(T186+T197+T226+T237+T241+T256+T267+T271+T272+T279+T280+T287)</f>
        <v>113703</v>
      </c>
      <c r="U180" s="145">
        <f>SUM(U186+U197+U226+U237+U241+U256+U267+U271+U272+U279+U280+U287)</f>
        <v>14105.300000000003</v>
      </c>
      <c r="V180" s="274"/>
      <c r="W180" s="275"/>
      <c r="X180" s="118"/>
    </row>
    <row r="181" spans="1:24" s="13" customFormat="1" ht="15" customHeight="1">
      <c r="A181" s="72" t="s">
        <v>324</v>
      </c>
      <c r="B181" s="22" t="s">
        <v>8</v>
      </c>
      <c r="C181" s="284"/>
      <c r="D181" s="272">
        <f>SUM(D227+D258+D289)</f>
        <v>7508.806</v>
      </c>
      <c r="E181" s="273">
        <f>SUM(E227+E258+E289)</f>
        <v>7508.806</v>
      </c>
      <c r="F181" s="355">
        <f>SUM(F227+F258)</f>
        <v>0</v>
      </c>
      <c r="G181" s="272">
        <f>SUM(G227+G258+G289)</f>
        <v>0</v>
      </c>
      <c r="H181" s="273">
        <f>SUM(H227+H258+H289)</f>
        <v>0</v>
      </c>
      <c r="I181" s="145">
        <f>SUM(I227+I258)</f>
        <v>0</v>
      </c>
      <c r="J181" s="274"/>
      <c r="K181" s="275"/>
      <c r="L181" s="338"/>
      <c r="M181" s="272">
        <f>SUM(M227+M258+M289)</f>
        <v>0</v>
      </c>
      <c r="N181" s="273">
        <f>SUM(N227+N258+N289)</f>
        <v>0</v>
      </c>
      <c r="O181" s="145">
        <f>SUM(O227+O258)</f>
        <v>0</v>
      </c>
      <c r="P181" s="274"/>
      <c r="Q181" s="275"/>
      <c r="R181" s="338"/>
      <c r="S181" s="272">
        <f>SUM(S227+S258+S289)</f>
        <v>0</v>
      </c>
      <c r="T181" s="273">
        <f>SUM(T227+T258+T289)</f>
        <v>0</v>
      </c>
      <c r="U181" s="145">
        <f>SUM(U227+U258)</f>
        <v>0</v>
      </c>
      <c r="V181" s="274"/>
      <c r="W181" s="275"/>
      <c r="X181" s="118"/>
    </row>
    <row r="182" spans="1:24" s="13" customFormat="1" ht="15" customHeight="1">
      <c r="A182" s="72" t="s">
        <v>325</v>
      </c>
      <c r="B182" s="22" t="s">
        <v>9</v>
      </c>
      <c r="C182" s="284"/>
      <c r="D182" s="272">
        <f aca="true" t="shared" si="73" ref="D182:I182">SUM(D187+D198+D228+D234+D248+D253+D257+D268+D273+D281)</f>
        <v>1428312.0699999998</v>
      </c>
      <c r="E182" s="273">
        <f t="shared" si="73"/>
        <v>1468584.0699999998</v>
      </c>
      <c r="F182" s="355">
        <f t="shared" si="73"/>
        <v>40272</v>
      </c>
      <c r="G182" s="272">
        <f t="shared" si="73"/>
        <v>204173</v>
      </c>
      <c r="H182" s="273">
        <f t="shared" si="73"/>
        <v>214313</v>
      </c>
      <c r="I182" s="145">
        <f t="shared" si="73"/>
        <v>10140</v>
      </c>
      <c r="J182" s="274"/>
      <c r="K182" s="275"/>
      <c r="L182" s="338"/>
      <c r="M182" s="272">
        <f>SUM(M187+M198+M228+M234+M248+M253+M257+M268+M273+M281)</f>
        <v>204173</v>
      </c>
      <c r="N182" s="273">
        <f>SUM(N187+N198+N228+N234+N248+N253+N257+N268+N273+N281)</f>
        <v>216188</v>
      </c>
      <c r="O182" s="145">
        <f>SUM(O187+O198+O228+O234+O248+O253+O257+O268+O273+O281)</f>
        <v>12015</v>
      </c>
      <c r="P182" s="274"/>
      <c r="Q182" s="275"/>
      <c r="R182" s="338"/>
      <c r="S182" s="272">
        <f>SUM(S187+S198+S228+S234+S248+S253+S257+S268+S273+S281)</f>
        <v>204173</v>
      </c>
      <c r="T182" s="273">
        <f>SUM(T187+T198+T228+T234+T248+T253+T257+T268+T273+T281)</f>
        <v>222290</v>
      </c>
      <c r="U182" s="145">
        <f>SUM(U187+U198+U228+U234+U248+U253+U257+U268+U273+U281)</f>
        <v>18117</v>
      </c>
      <c r="V182" s="274"/>
      <c r="W182" s="275"/>
      <c r="X182" s="118"/>
    </row>
    <row r="183" spans="1:24" s="13" customFormat="1" ht="15" customHeight="1">
      <c r="A183" s="72" t="s">
        <v>326</v>
      </c>
      <c r="B183" s="19" t="s">
        <v>10</v>
      </c>
      <c r="C183" s="284"/>
      <c r="D183" s="272">
        <f aca="true" t="shared" si="74" ref="D183:I183">SUM(D238+D245)</f>
        <v>18697.4</v>
      </c>
      <c r="E183" s="273">
        <f t="shared" si="74"/>
        <v>18697.4</v>
      </c>
      <c r="F183" s="355">
        <f t="shared" si="74"/>
        <v>0</v>
      </c>
      <c r="G183" s="272">
        <f>SUM(G238+G245)</f>
        <v>3200</v>
      </c>
      <c r="H183" s="273">
        <f>SUM(H238+H245)</f>
        <v>3200</v>
      </c>
      <c r="I183" s="145">
        <f t="shared" si="74"/>
        <v>0</v>
      </c>
      <c r="J183" s="274"/>
      <c r="K183" s="275"/>
      <c r="L183" s="338"/>
      <c r="M183" s="272">
        <f>SUM(M238+M245)</f>
        <v>3200</v>
      </c>
      <c r="N183" s="273">
        <f>SUM(N238+N245)</f>
        <v>3200</v>
      </c>
      <c r="O183" s="145">
        <f>SUM(O238+O245)</f>
        <v>0</v>
      </c>
      <c r="P183" s="274"/>
      <c r="Q183" s="275"/>
      <c r="R183" s="338"/>
      <c r="S183" s="272">
        <f>SUM(S238+S245)</f>
        <v>3200</v>
      </c>
      <c r="T183" s="273">
        <f>SUM(T238+T245)</f>
        <v>3200</v>
      </c>
      <c r="U183" s="145">
        <f>SUM(U238+U245)</f>
        <v>0</v>
      </c>
      <c r="V183" s="274"/>
      <c r="W183" s="275"/>
      <c r="X183" s="118"/>
    </row>
    <row r="184" spans="1:24" s="13" customFormat="1" ht="15" customHeight="1">
      <c r="A184" s="72"/>
      <c r="B184" s="19"/>
      <c r="C184" s="284"/>
      <c r="D184" s="238"/>
      <c r="E184" s="239"/>
      <c r="F184" s="355"/>
      <c r="G184" s="272"/>
      <c r="H184" s="239"/>
      <c r="I184" s="140"/>
      <c r="J184" s="240"/>
      <c r="K184" s="241"/>
      <c r="L184" s="338"/>
      <c r="M184" s="238"/>
      <c r="N184" s="239"/>
      <c r="O184" s="140"/>
      <c r="P184" s="240"/>
      <c r="Q184" s="241"/>
      <c r="R184" s="338"/>
      <c r="S184" s="272"/>
      <c r="T184" s="239"/>
      <c r="U184" s="140"/>
      <c r="V184" s="240"/>
      <c r="W184" s="241"/>
      <c r="X184" s="83"/>
    </row>
    <row r="185" spans="1:24" s="25" customFormat="1" ht="66.75" customHeight="1">
      <c r="A185" s="75" t="s">
        <v>327</v>
      </c>
      <c r="B185" s="27" t="s">
        <v>132</v>
      </c>
      <c r="C185" s="280" t="s">
        <v>580</v>
      </c>
      <c r="D185" s="285">
        <f aca="true" t="shared" si="75" ref="D185:I185">SUM(D186:D187)</f>
        <v>11363.233</v>
      </c>
      <c r="E185" s="286">
        <f t="shared" si="75"/>
        <v>11813.233</v>
      </c>
      <c r="F185" s="361">
        <f t="shared" si="75"/>
        <v>450</v>
      </c>
      <c r="G185" s="264">
        <f>SUM(G186:G187)</f>
        <v>3550</v>
      </c>
      <c r="H185" s="286">
        <f>SUM(H186:H187)</f>
        <v>4000</v>
      </c>
      <c r="I185" s="143">
        <f t="shared" si="75"/>
        <v>450</v>
      </c>
      <c r="J185" s="281" t="s">
        <v>581</v>
      </c>
      <c r="K185" s="282" t="s">
        <v>581</v>
      </c>
      <c r="L185" s="344" t="s">
        <v>582</v>
      </c>
      <c r="M185" s="285">
        <f>SUM(M186:M187)</f>
        <v>2000</v>
      </c>
      <c r="N185" s="286">
        <f>SUM(N186:N187)</f>
        <v>0</v>
      </c>
      <c r="O185" s="143">
        <f>SUM(O186:O187)</f>
        <v>-2000</v>
      </c>
      <c r="P185" s="281" t="s">
        <v>581</v>
      </c>
      <c r="Q185" s="282" t="s">
        <v>581</v>
      </c>
      <c r="R185" s="344" t="s">
        <v>697</v>
      </c>
      <c r="S185" s="264">
        <f>SUM(S186:S187)</f>
        <v>3000</v>
      </c>
      <c r="T185" s="286">
        <f>SUM(T186:T187)</f>
        <v>5000</v>
      </c>
      <c r="U185" s="143">
        <f>SUM(U186:U187)</f>
        <v>2000</v>
      </c>
      <c r="V185" s="281" t="s">
        <v>698</v>
      </c>
      <c r="W185" s="282" t="s">
        <v>698</v>
      </c>
      <c r="X185" s="283" t="s">
        <v>699</v>
      </c>
    </row>
    <row r="186" spans="1:24" s="13" customFormat="1" ht="15" customHeight="1">
      <c r="A186" s="75" t="s">
        <v>328</v>
      </c>
      <c r="B186" s="22" t="s">
        <v>7</v>
      </c>
      <c r="C186" s="284"/>
      <c r="D186" s="238">
        <f aca="true" t="shared" si="76" ref="D186:I186">SUM(D189:D194)</f>
        <v>11363.233</v>
      </c>
      <c r="E186" s="239">
        <f t="shared" si="76"/>
        <v>11813.233</v>
      </c>
      <c r="F186" s="355">
        <f t="shared" si="76"/>
        <v>450</v>
      </c>
      <c r="G186" s="272">
        <f t="shared" si="76"/>
        <v>3550</v>
      </c>
      <c r="H186" s="239">
        <f t="shared" si="76"/>
        <v>4000</v>
      </c>
      <c r="I186" s="140">
        <f t="shared" si="76"/>
        <v>450</v>
      </c>
      <c r="J186" s="240"/>
      <c r="K186" s="241"/>
      <c r="L186" s="338"/>
      <c r="M186" s="238">
        <f>SUM(M189:M194)</f>
        <v>2000</v>
      </c>
      <c r="N186" s="239">
        <f>SUM(N189:N194)</f>
        <v>0</v>
      </c>
      <c r="O186" s="140">
        <f>SUM(O189:O194)</f>
        <v>-2000</v>
      </c>
      <c r="P186" s="240"/>
      <c r="Q186" s="241"/>
      <c r="R186" s="338"/>
      <c r="S186" s="272">
        <f>SUM(S189:S194)</f>
        <v>3000</v>
      </c>
      <c r="T186" s="239">
        <f>SUM(T189:T194)</f>
        <v>5000</v>
      </c>
      <c r="U186" s="140">
        <f>SUM(U189:U194)</f>
        <v>2000</v>
      </c>
      <c r="V186" s="240"/>
      <c r="W186" s="241"/>
      <c r="X186" s="83"/>
    </row>
    <row r="187" spans="1:24" s="13" customFormat="1" ht="15" customHeight="1">
      <c r="A187" s="75" t="s">
        <v>329</v>
      </c>
      <c r="B187" s="22" t="s">
        <v>9</v>
      </c>
      <c r="C187" s="284"/>
      <c r="D187" s="238"/>
      <c r="E187" s="239"/>
      <c r="F187" s="355"/>
      <c r="G187" s="272"/>
      <c r="H187" s="239"/>
      <c r="I187" s="140"/>
      <c r="J187" s="240"/>
      <c r="K187" s="241"/>
      <c r="L187" s="338"/>
      <c r="M187" s="238"/>
      <c r="N187" s="239"/>
      <c r="O187" s="140"/>
      <c r="P187" s="240"/>
      <c r="Q187" s="241"/>
      <c r="R187" s="338"/>
      <c r="S187" s="272"/>
      <c r="T187" s="239"/>
      <c r="U187" s="140"/>
      <c r="V187" s="240"/>
      <c r="W187" s="241"/>
      <c r="X187" s="83"/>
    </row>
    <row r="188" spans="1:24" s="21" customFormat="1" ht="15" customHeight="1">
      <c r="A188" s="72"/>
      <c r="B188" s="19" t="s">
        <v>19</v>
      </c>
      <c r="C188" s="284"/>
      <c r="D188" s="290"/>
      <c r="E188" s="291"/>
      <c r="F188" s="364"/>
      <c r="G188" s="342"/>
      <c r="H188" s="291"/>
      <c r="I188" s="147"/>
      <c r="J188" s="292"/>
      <c r="K188" s="293"/>
      <c r="L188" s="345"/>
      <c r="M188" s="290"/>
      <c r="N188" s="291"/>
      <c r="O188" s="147"/>
      <c r="P188" s="292"/>
      <c r="Q188" s="293"/>
      <c r="R188" s="345"/>
      <c r="S188" s="342"/>
      <c r="T188" s="291"/>
      <c r="U188" s="147"/>
      <c r="V188" s="292"/>
      <c r="W188" s="293"/>
      <c r="X188" s="114"/>
    </row>
    <row r="189" spans="1:24" s="13" customFormat="1" ht="15" customHeight="1">
      <c r="A189" s="72" t="s">
        <v>330</v>
      </c>
      <c r="B189" s="22" t="s">
        <v>726</v>
      </c>
      <c r="C189" s="284"/>
      <c r="D189" s="238">
        <f>1500-550</f>
        <v>950</v>
      </c>
      <c r="E189" s="239">
        <f>1500-550</f>
        <v>950</v>
      </c>
      <c r="F189" s="355">
        <f aca="true" t="shared" si="77" ref="F189:F194">E189-D189</f>
        <v>0</v>
      </c>
      <c r="G189" s="272"/>
      <c r="H189" s="239"/>
      <c r="I189" s="140">
        <f aca="true" t="shared" si="78" ref="I189:I194">H189-G189</f>
        <v>0</v>
      </c>
      <c r="J189" s="240"/>
      <c r="K189" s="241"/>
      <c r="L189" s="338"/>
      <c r="M189" s="238"/>
      <c r="N189" s="239"/>
      <c r="O189" s="140">
        <f aca="true" t="shared" si="79" ref="O189:O194">N189-M189</f>
        <v>0</v>
      </c>
      <c r="P189" s="240"/>
      <c r="Q189" s="241"/>
      <c r="R189" s="338"/>
      <c r="S189" s="272"/>
      <c r="T189" s="239"/>
      <c r="U189" s="140">
        <f aca="true" t="shared" si="80" ref="U189:U194">T189-S189</f>
        <v>0</v>
      </c>
      <c r="V189" s="240"/>
      <c r="W189" s="241"/>
      <c r="X189" s="83"/>
    </row>
    <row r="190" spans="1:24" s="13" customFormat="1" ht="15" customHeight="1">
      <c r="A190" s="72" t="s">
        <v>331</v>
      </c>
      <c r="B190" s="22" t="s">
        <v>28</v>
      </c>
      <c r="C190" s="284"/>
      <c r="D190" s="238">
        <v>1863.233</v>
      </c>
      <c r="E190" s="239">
        <v>1863.233</v>
      </c>
      <c r="F190" s="355">
        <f t="shared" si="77"/>
        <v>0</v>
      </c>
      <c r="G190" s="272"/>
      <c r="H190" s="239"/>
      <c r="I190" s="140">
        <f t="shared" si="78"/>
        <v>0</v>
      </c>
      <c r="J190" s="240"/>
      <c r="K190" s="241"/>
      <c r="L190" s="338"/>
      <c r="M190" s="238"/>
      <c r="N190" s="239"/>
      <c r="O190" s="140">
        <f t="shared" si="79"/>
        <v>0</v>
      </c>
      <c r="P190" s="240"/>
      <c r="Q190" s="241"/>
      <c r="R190" s="338"/>
      <c r="S190" s="272"/>
      <c r="T190" s="239"/>
      <c r="U190" s="140">
        <f t="shared" si="80"/>
        <v>0</v>
      </c>
      <c r="V190" s="240"/>
      <c r="W190" s="241"/>
      <c r="X190" s="83"/>
    </row>
    <row r="191" spans="1:24" s="13" customFormat="1" ht="15" customHeight="1">
      <c r="A191" s="72" t="s">
        <v>332</v>
      </c>
      <c r="B191" s="22" t="s">
        <v>29</v>
      </c>
      <c r="C191" s="284"/>
      <c r="D191" s="238">
        <v>3550</v>
      </c>
      <c r="E191" s="239">
        <v>4000</v>
      </c>
      <c r="F191" s="355">
        <f t="shared" si="77"/>
        <v>450</v>
      </c>
      <c r="G191" s="272">
        <v>3550</v>
      </c>
      <c r="H191" s="239">
        <v>4000</v>
      </c>
      <c r="I191" s="140">
        <f t="shared" si="78"/>
        <v>450</v>
      </c>
      <c r="J191" s="240"/>
      <c r="K191" s="241"/>
      <c r="L191" s="338"/>
      <c r="M191" s="238"/>
      <c r="N191" s="239"/>
      <c r="O191" s="140">
        <f t="shared" si="79"/>
        <v>0</v>
      </c>
      <c r="P191" s="240"/>
      <c r="Q191" s="241"/>
      <c r="R191" s="338"/>
      <c r="S191" s="272"/>
      <c r="T191" s="239"/>
      <c r="U191" s="140">
        <f t="shared" si="80"/>
        <v>0</v>
      </c>
      <c r="V191" s="240"/>
      <c r="W191" s="241"/>
      <c r="X191" s="83"/>
    </row>
    <row r="192" spans="1:24" s="13" customFormat="1" ht="15" customHeight="1">
      <c r="A192" s="72" t="s">
        <v>333</v>
      </c>
      <c r="B192" s="22" t="s">
        <v>30</v>
      </c>
      <c r="C192" s="284"/>
      <c r="D192" s="238">
        <v>2000</v>
      </c>
      <c r="E192" s="239">
        <v>2500</v>
      </c>
      <c r="F192" s="355">
        <f t="shared" si="77"/>
        <v>500</v>
      </c>
      <c r="G192" s="272"/>
      <c r="H192" s="239"/>
      <c r="I192" s="140">
        <f t="shared" si="78"/>
        <v>0</v>
      </c>
      <c r="J192" s="240"/>
      <c r="K192" s="241"/>
      <c r="L192" s="338"/>
      <c r="M192" s="238">
        <v>2000</v>
      </c>
      <c r="N192" s="239"/>
      <c r="O192" s="140">
        <f t="shared" si="79"/>
        <v>-2000</v>
      </c>
      <c r="P192" s="240"/>
      <c r="Q192" s="241"/>
      <c r="R192" s="338"/>
      <c r="S192" s="272"/>
      <c r="T192" s="239">
        <v>2500</v>
      </c>
      <c r="U192" s="140">
        <f t="shared" si="80"/>
        <v>2500</v>
      </c>
      <c r="V192" s="240"/>
      <c r="W192" s="241"/>
      <c r="X192" s="83"/>
    </row>
    <row r="193" spans="1:24" s="13" customFormat="1" ht="15" customHeight="1">
      <c r="A193" s="72" t="s">
        <v>334</v>
      </c>
      <c r="B193" s="22" t="s">
        <v>501</v>
      </c>
      <c r="C193" s="284"/>
      <c r="D193" s="238"/>
      <c r="E193" s="239">
        <v>2500</v>
      </c>
      <c r="F193" s="355">
        <f t="shared" si="77"/>
        <v>2500</v>
      </c>
      <c r="G193" s="272"/>
      <c r="H193" s="239"/>
      <c r="I193" s="140">
        <f t="shared" si="78"/>
        <v>0</v>
      </c>
      <c r="J193" s="240"/>
      <c r="K193" s="241"/>
      <c r="L193" s="338"/>
      <c r="M193" s="238"/>
      <c r="N193" s="239"/>
      <c r="O193" s="140">
        <f t="shared" si="79"/>
        <v>0</v>
      </c>
      <c r="P193" s="240"/>
      <c r="Q193" s="241"/>
      <c r="R193" s="338"/>
      <c r="S193" s="272"/>
      <c r="T193" s="239">
        <v>2500</v>
      </c>
      <c r="U193" s="140">
        <f t="shared" si="80"/>
        <v>2500</v>
      </c>
      <c r="V193" s="240"/>
      <c r="W193" s="241"/>
      <c r="X193" s="83"/>
    </row>
    <row r="194" spans="1:24" s="13" customFormat="1" ht="15" customHeight="1">
      <c r="A194" s="72" t="s">
        <v>335</v>
      </c>
      <c r="B194" s="22" t="s">
        <v>75</v>
      </c>
      <c r="C194" s="284"/>
      <c r="D194" s="238">
        <v>3000</v>
      </c>
      <c r="E194" s="239">
        <v>0</v>
      </c>
      <c r="F194" s="355">
        <f t="shared" si="77"/>
        <v>-3000</v>
      </c>
      <c r="G194" s="272"/>
      <c r="H194" s="239"/>
      <c r="I194" s="140">
        <f t="shared" si="78"/>
        <v>0</v>
      </c>
      <c r="J194" s="240"/>
      <c r="K194" s="241"/>
      <c r="L194" s="338"/>
      <c r="M194" s="238"/>
      <c r="N194" s="239"/>
      <c r="O194" s="140">
        <f t="shared" si="79"/>
        <v>0</v>
      </c>
      <c r="P194" s="240"/>
      <c r="Q194" s="241"/>
      <c r="R194" s="338"/>
      <c r="S194" s="272">
        <v>3000</v>
      </c>
      <c r="T194" s="239"/>
      <c r="U194" s="140">
        <f t="shared" si="80"/>
        <v>-3000</v>
      </c>
      <c r="V194" s="240"/>
      <c r="W194" s="241"/>
      <c r="X194" s="83"/>
    </row>
    <row r="195" spans="1:24" s="7" customFormat="1" ht="15" customHeight="1">
      <c r="A195" s="76"/>
      <c r="B195" s="9"/>
      <c r="C195" s="256"/>
      <c r="D195" s="251"/>
      <c r="E195" s="252"/>
      <c r="F195" s="358"/>
      <c r="G195" s="272"/>
      <c r="H195" s="239"/>
      <c r="I195" s="155"/>
      <c r="J195" s="240"/>
      <c r="K195" s="241"/>
      <c r="L195" s="338"/>
      <c r="M195" s="238"/>
      <c r="N195" s="239"/>
      <c r="O195" s="140"/>
      <c r="P195" s="240"/>
      <c r="Q195" s="241"/>
      <c r="R195" s="338"/>
      <c r="S195" s="272"/>
      <c r="T195" s="239"/>
      <c r="U195" s="140"/>
      <c r="V195" s="240"/>
      <c r="W195" s="241"/>
      <c r="X195" s="83"/>
    </row>
    <row r="196" spans="1:24" s="25" customFormat="1" ht="170.25" customHeight="1">
      <c r="A196" s="72" t="s">
        <v>336</v>
      </c>
      <c r="B196" s="27" t="s">
        <v>133</v>
      </c>
      <c r="C196" s="280" t="s">
        <v>583</v>
      </c>
      <c r="D196" s="285">
        <f aca="true" t="shared" si="81" ref="D196:I196">SUM(D197:D198)</f>
        <v>29275.158119999996</v>
      </c>
      <c r="E196" s="286">
        <f t="shared" si="81"/>
        <v>42575.15812</v>
      </c>
      <c r="F196" s="361">
        <f t="shared" si="81"/>
        <v>12381.963</v>
      </c>
      <c r="G196" s="264">
        <f>SUM(G197:G198)</f>
        <v>0</v>
      </c>
      <c r="H196" s="286">
        <f>SUM(H197:H198)</f>
        <v>7300</v>
      </c>
      <c r="I196" s="143">
        <f t="shared" si="81"/>
        <v>4231.963</v>
      </c>
      <c r="J196" s="281" t="s">
        <v>585</v>
      </c>
      <c r="K196" s="282" t="s">
        <v>585</v>
      </c>
      <c r="L196" s="344" t="s">
        <v>584</v>
      </c>
      <c r="M196" s="285">
        <f>SUM(M197:M198)</f>
        <v>0</v>
      </c>
      <c r="N196" s="286">
        <f>SUM(N197:N198)</f>
        <v>3000</v>
      </c>
      <c r="O196" s="143">
        <f>SUM(O197:O198)</f>
        <v>3000</v>
      </c>
      <c r="P196" s="281" t="s">
        <v>586</v>
      </c>
      <c r="Q196" s="282" t="s">
        <v>586</v>
      </c>
      <c r="R196" s="344" t="s">
        <v>701</v>
      </c>
      <c r="S196" s="264">
        <f>SUM(S197:S198)</f>
        <v>0</v>
      </c>
      <c r="T196" s="286">
        <f>SUM(T197:T198)</f>
        <v>3000</v>
      </c>
      <c r="U196" s="143">
        <f>SUM(U197:U198)</f>
        <v>3000</v>
      </c>
      <c r="V196" s="281" t="s">
        <v>700</v>
      </c>
      <c r="W196" s="282" t="s">
        <v>700</v>
      </c>
      <c r="X196" s="283" t="s">
        <v>701</v>
      </c>
    </row>
    <row r="197" spans="1:24" s="13" customFormat="1" ht="15" customHeight="1">
      <c r="A197" s="72" t="s">
        <v>337</v>
      </c>
      <c r="B197" s="22" t="s">
        <v>7</v>
      </c>
      <c r="C197" s="284"/>
      <c r="D197" s="238">
        <f>D199+D213-D198</f>
        <v>27251.358119999997</v>
      </c>
      <c r="E197" s="239">
        <f>E199+E213-E198</f>
        <v>40551.35812</v>
      </c>
      <c r="F197" s="355">
        <f>F200+F213</f>
        <v>12381.963</v>
      </c>
      <c r="G197" s="272">
        <f>G199+G213-G198</f>
        <v>0</v>
      </c>
      <c r="H197" s="239">
        <f>H199+H213-H198</f>
        <v>7300</v>
      </c>
      <c r="I197" s="140">
        <f>I200+I213</f>
        <v>4231.963</v>
      </c>
      <c r="J197" s="240"/>
      <c r="K197" s="241"/>
      <c r="L197" s="338"/>
      <c r="M197" s="238">
        <f>M199+M213-M198</f>
        <v>0</v>
      </c>
      <c r="N197" s="239">
        <f>N199+N213-N198</f>
        <v>3000</v>
      </c>
      <c r="O197" s="140">
        <f>O200+O213</f>
        <v>3000</v>
      </c>
      <c r="P197" s="240"/>
      <c r="Q197" s="241"/>
      <c r="R197" s="362"/>
      <c r="S197" s="363">
        <f>S199+S213-S198</f>
        <v>0</v>
      </c>
      <c r="T197" s="239">
        <f>T199+T213-T198</f>
        <v>3000</v>
      </c>
      <c r="U197" s="140">
        <f>U200+U213</f>
        <v>3000</v>
      </c>
      <c r="V197" s="240"/>
      <c r="W197" s="241"/>
      <c r="X197" s="83"/>
    </row>
    <row r="198" spans="1:24" s="13" customFormat="1" ht="15" customHeight="1">
      <c r="A198" s="72" t="s">
        <v>338</v>
      </c>
      <c r="B198" s="22" t="s">
        <v>9</v>
      </c>
      <c r="C198" s="284"/>
      <c r="D198" s="238">
        <v>2023.8</v>
      </c>
      <c r="E198" s="239">
        <v>2023.8</v>
      </c>
      <c r="F198" s="355"/>
      <c r="G198" s="272"/>
      <c r="H198" s="239"/>
      <c r="I198" s="140"/>
      <c r="J198" s="240"/>
      <c r="K198" s="241"/>
      <c r="L198" s="338"/>
      <c r="M198" s="272"/>
      <c r="N198" s="239"/>
      <c r="O198" s="140"/>
      <c r="P198" s="240"/>
      <c r="Q198" s="241"/>
      <c r="R198" s="338"/>
      <c r="S198" s="272"/>
      <c r="T198" s="239"/>
      <c r="U198" s="140"/>
      <c r="V198" s="240"/>
      <c r="W198" s="241"/>
      <c r="X198" s="83"/>
    </row>
    <row r="199" spans="1:24" s="25" customFormat="1" ht="15" customHeight="1">
      <c r="A199" s="72" t="s">
        <v>339</v>
      </c>
      <c r="B199" s="309" t="s">
        <v>84</v>
      </c>
      <c r="C199" s="284"/>
      <c r="D199" s="285">
        <f aca="true" t="shared" si="82" ref="D199:I199">SUM(D201:D212)</f>
        <v>25560.969119999998</v>
      </c>
      <c r="E199" s="286">
        <f t="shared" si="82"/>
        <v>37843.16912</v>
      </c>
      <c r="F199" s="361">
        <f t="shared" si="82"/>
        <v>12282.199999999999</v>
      </c>
      <c r="G199" s="264">
        <f t="shared" si="82"/>
        <v>0</v>
      </c>
      <c r="H199" s="286">
        <f t="shared" si="82"/>
        <v>6282.2</v>
      </c>
      <c r="I199" s="143">
        <f t="shared" si="82"/>
        <v>4132.2</v>
      </c>
      <c r="J199" s="288"/>
      <c r="K199" s="289"/>
      <c r="L199" s="343"/>
      <c r="M199" s="264">
        <f>SUM(M201:M212)</f>
        <v>0</v>
      </c>
      <c r="N199" s="286">
        <f>SUM(N201:N212)</f>
        <v>3000</v>
      </c>
      <c r="O199" s="143">
        <f>SUM(O201:O212)</f>
        <v>3000</v>
      </c>
      <c r="P199" s="288"/>
      <c r="Q199" s="289"/>
      <c r="R199" s="343"/>
      <c r="S199" s="264">
        <f>SUM(S201:S212)</f>
        <v>0</v>
      </c>
      <c r="T199" s="286">
        <f>SUM(T201:T212)</f>
        <v>3000</v>
      </c>
      <c r="U199" s="143">
        <f>SUM(U201:U212)</f>
        <v>3000</v>
      </c>
      <c r="V199" s="288"/>
      <c r="W199" s="289"/>
      <c r="X199" s="85"/>
    </row>
    <row r="200" spans="1:24" s="21" customFormat="1" ht="38.25" customHeight="1">
      <c r="A200" s="72" t="s">
        <v>340</v>
      </c>
      <c r="B200" s="310" t="s">
        <v>85</v>
      </c>
      <c r="C200" s="295"/>
      <c r="D200" s="290">
        <v>24683.70325</v>
      </c>
      <c r="E200" s="291">
        <v>24683.70325</v>
      </c>
      <c r="F200" s="364">
        <f>F199</f>
        <v>12282.199999999999</v>
      </c>
      <c r="G200" s="342">
        <f>G199</f>
        <v>0</v>
      </c>
      <c r="H200" s="291">
        <f>H199</f>
        <v>6282.2</v>
      </c>
      <c r="I200" s="147">
        <f>I199</f>
        <v>4132.2</v>
      </c>
      <c r="J200" s="292"/>
      <c r="K200" s="293"/>
      <c r="L200" s="345"/>
      <c r="M200" s="342">
        <f>M199</f>
        <v>0</v>
      </c>
      <c r="N200" s="291">
        <f>N199</f>
        <v>3000</v>
      </c>
      <c r="O200" s="147">
        <f>O199</f>
        <v>3000</v>
      </c>
      <c r="P200" s="292"/>
      <c r="Q200" s="293"/>
      <c r="R200" s="345"/>
      <c r="S200" s="342">
        <f>S199</f>
        <v>0</v>
      </c>
      <c r="T200" s="291">
        <f>T199</f>
        <v>3000</v>
      </c>
      <c r="U200" s="147">
        <f>U199</f>
        <v>3000</v>
      </c>
      <c r="V200" s="292"/>
      <c r="W200" s="293"/>
      <c r="X200" s="114"/>
    </row>
    <row r="201" spans="1:24" s="21" customFormat="1" ht="15" customHeight="1">
      <c r="A201" s="72" t="s">
        <v>341</v>
      </c>
      <c r="B201" s="19" t="s">
        <v>76</v>
      </c>
      <c r="C201" s="284"/>
      <c r="D201" s="238">
        <v>1998.382</v>
      </c>
      <c r="E201" s="239">
        <v>1998.382</v>
      </c>
      <c r="F201" s="355">
        <f aca="true" t="shared" si="83" ref="F201:F223">E201-D201</f>
        <v>0</v>
      </c>
      <c r="G201" s="342"/>
      <c r="H201" s="291"/>
      <c r="I201" s="140">
        <f aca="true" t="shared" si="84" ref="I201:I223">H201-G201</f>
        <v>0</v>
      </c>
      <c r="J201" s="292"/>
      <c r="K201" s="293"/>
      <c r="L201" s="338"/>
      <c r="M201" s="342"/>
      <c r="N201" s="291"/>
      <c r="O201" s="140">
        <f aca="true" t="shared" si="85" ref="O201:O212">N201-M201</f>
        <v>0</v>
      </c>
      <c r="P201" s="292"/>
      <c r="Q201" s="293"/>
      <c r="R201" s="338"/>
      <c r="S201" s="342"/>
      <c r="T201" s="291"/>
      <c r="U201" s="140">
        <f aca="true" t="shared" si="86" ref="U201:U212">T201-S201</f>
        <v>0</v>
      </c>
      <c r="V201" s="292"/>
      <c r="W201" s="293"/>
      <c r="X201" s="83"/>
    </row>
    <row r="202" spans="1:24" s="13" customFormat="1" ht="34.5" customHeight="1">
      <c r="A202" s="72" t="s">
        <v>342</v>
      </c>
      <c r="B202" s="22" t="s">
        <v>727</v>
      </c>
      <c r="C202" s="284"/>
      <c r="D202" s="238">
        <f>875.65384+425.641</f>
        <v>1301.29484</v>
      </c>
      <c r="E202" s="239">
        <v>1459.29484</v>
      </c>
      <c r="F202" s="355">
        <f t="shared" si="83"/>
        <v>158</v>
      </c>
      <c r="G202" s="272"/>
      <c r="H202" s="239">
        <v>158</v>
      </c>
      <c r="I202" s="140">
        <f t="shared" si="84"/>
        <v>158</v>
      </c>
      <c r="J202" s="240"/>
      <c r="K202" s="241"/>
      <c r="L202" s="338"/>
      <c r="M202" s="272"/>
      <c r="N202" s="239"/>
      <c r="O202" s="140">
        <f t="shared" si="85"/>
        <v>0</v>
      </c>
      <c r="P202" s="240"/>
      <c r="Q202" s="241"/>
      <c r="R202" s="338"/>
      <c r="S202" s="272"/>
      <c r="T202" s="239"/>
      <c r="U202" s="140">
        <f t="shared" si="86"/>
        <v>0</v>
      </c>
      <c r="V202" s="240"/>
      <c r="W202" s="241"/>
      <c r="X202" s="83"/>
    </row>
    <row r="203" spans="1:24" s="13" customFormat="1" ht="15.75">
      <c r="A203" s="72" t="s">
        <v>343</v>
      </c>
      <c r="B203" s="22" t="s">
        <v>24</v>
      </c>
      <c r="C203" s="284"/>
      <c r="D203" s="238">
        <v>909</v>
      </c>
      <c r="E203" s="239">
        <v>909</v>
      </c>
      <c r="F203" s="355">
        <f t="shared" si="83"/>
        <v>0</v>
      </c>
      <c r="G203" s="272"/>
      <c r="H203" s="239"/>
      <c r="I203" s="140">
        <f t="shared" si="84"/>
        <v>0</v>
      </c>
      <c r="J203" s="240"/>
      <c r="K203" s="241"/>
      <c r="L203" s="338"/>
      <c r="M203" s="272"/>
      <c r="N203" s="239"/>
      <c r="O203" s="140">
        <f t="shared" si="85"/>
        <v>0</v>
      </c>
      <c r="P203" s="240"/>
      <c r="Q203" s="241"/>
      <c r="R203" s="338"/>
      <c r="S203" s="272"/>
      <c r="T203" s="239"/>
      <c r="U203" s="140">
        <f t="shared" si="86"/>
        <v>0</v>
      </c>
      <c r="V203" s="240"/>
      <c r="W203" s="241"/>
      <c r="X203" s="83"/>
    </row>
    <row r="204" spans="1:24" s="21" customFormat="1" ht="36.75" customHeight="1">
      <c r="A204" s="72" t="s">
        <v>344</v>
      </c>
      <c r="B204" s="19" t="s">
        <v>186</v>
      </c>
      <c r="C204" s="284"/>
      <c r="D204" s="238">
        <f>2785.291+2877.653</f>
        <v>5662.9439999999995</v>
      </c>
      <c r="E204" s="239">
        <f>2785.291+2877.653</f>
        <v>5662.9439999999995</v>
      </c>
      <c r="F204" s="355">
        <f t="shared" si="83"/>
        <v>0</v>
      </c>
      <c r="G204" s="342"/>
      <c r="H204" s="291"/>
      <c r="I204" s="140">
        <f t="shared" si="84"/>
        <v>0</v>
      </c>
      <c r="J204" s="292"/>
      <c r="K204" s="293"/>
      <c r="L204" s="338"/>
      <c r="M204" s="342"/>
      <c r="N204" s="291"/>
      <c r="O204" s="140">
        <f t="shared" si="85"/>
        <v>0</v>
      </c>
      <c r="P204" s="292"/>
      <c r="Q204" s="293"/>
      <c r="R204" s="338"/>
      <c r="S204" s="342"/>
      <c r="T204" s="291"/>
      <c r="U204" s="140">
        <f t="shared" si="86"/>
        <v>0</v>
      </c>
      <c r="V204" s="292"/>
      <c r="W204" s="293"/>
      <c r="X204" s="83"/>
    </row>
    <row r="205" spans="1:24" s="13" customFormat="1" ht="15" customHeight="1">
      <c r="A205" s="72" t="s">
        <v>345</v>
      </c>
      <c r="B205" s="22" t="s">
        <v>490</v>
      </c>
      <c r="C205" s="284"/>
      <c r="D205" s="238">
        <v>2100</v>
      </c>
      <c r="E205" s="239">
        <v>3574.2</v>
      </c>
      <c r="F205" s="355">
        <f t="shared" si="83"/>
        <v>1474.1999999999998</v>
      </c>
      <c r="G205" s="272"/>
      <c r="H205" s="239">
        <v>1474.2</v>
      </c>
      <c r="I205" s="140">
        <f t="shared" si="84"/>
        <v>1474.2</v>
      </c>
      <c r="J205" s="240"/>
      <c r="K205" s="241"/>
      <c r="L205" s="338"/>
      <c r="M205" s="272"/>
      <c r="N205" s="239"/>
      <c r="O205" s="140">
        <f t="shared" si="85"/>
        <v>0</v>
      </c>
      <c r="P205" s="240"/>
      <c r="Q205" s="241"/>
      <c r="R205" s="338"/>
      <c r="S205" s="272"/>
      <c r="T205" s="239"/>
      <c r="U205" s="140">
        <f t="shared" si="86"/>
        <v>0</v>
      </c>
      <c r="V205" s="240"/>
      <c r="W205" s="241"/>
      <c r="X205" s="83"/>
    </row>
    <row r="206" spans="1:24" s="13" customFormat="1" ht="15.75">
      <c r="A206" s="72" t="s">
        <v>346</v>
      </c>
      <c r="B206" s="22" t="s">
        <v>503</v>
      </c>
      <c r="C206" s="284"/>
      <c r="D206" s="238">
        <f>5031.314-477.17513</f>
        <v>4554.138870000001</v>
      </c>
      <c r="E206" s="239">
        <v>7054.13887</v>
      </c>
      <c r="F206" s="355">
        <f t="shared" si="83"/>
        <v>2499.999999999999</v>
      </c>
      <c r="G206" s="272"/>
      <c r="H206" s="239">
        <v>2500</v>
      </c>
      <c r="I206" s="140">
        <f t="shared" si="84"/>
        <v>2500</v>
      </c>
      <c r="J206" s="240"/>
      <c r="K206" s="241"/>
      <c r="L206" s="338"/>
      <c r="M206" s="272"/>
      <c r="N206" s="239"/>
      <c r="O206" s="140">
        <f t="shared" si="85"/>
        <v>0</v>
      </c>
      <c r="P206" s="240"/>
      <c r="Q206" s="241"/>
      <c r="R206" s="338"/>
      <c r="S206" s="272"/>
      <c r="T206" s="239"/>
      <c r="U206" s="140">
        <f t="shared" si="86"/>
        <v>0</v>
      </c>
      <c r="V206" s="240"/>
      <c r="W206" s="241"/>
      <c r="X206" s="83"/>
    </row>
    <row r="207" spans="1:24" s="13" customFormat="1" ht="15.75">
      <c r="A207" s="72" t="s">
        <v>347</v>
      </c>
      <c r="B207" s="22" t="s">
        <v>587</v>
      </c>
      <c r="C207" s="284"/>
      <c r="D207" s="238">
        <v>739</v>
      </c>
      <c r="E207" s="239">
        <v>3739</v>
      </c>
      <c r="F207" s="355">
        <f t="shared" si="83"/>
        <v>3000</v>
      </c>
      <c r="G207" s="272"/>
      <c r="H207" s="239"/>
      <c r="I207" s="140">
        <f t="shared" si="84"/>
        <v>0</v>
      </c>
      <c r="J207" s="240"/>
      <c r="K207" s="241"/>
      <c r="L207" s="338"/>
      <c r="M207" s="272"/>
      <c r="N207" s="239">
        <v>3000</v>
      </c>
      <c r="O207" s="140">
        <f t="shared" si="85"/>
        <v>3000</v>
      </c>
      <c r="P207" s="240"/>
      <c r="Q207" s="241"/>
      <c r="R207" s="338"/>
      <c r="S207" s="272"/>
      <c r="T207" s="239"/>
      <c r="U207" s="140">
        <f t="shared" si="86"/>
        <v>0</v>
      </c>
      <c r="V207" s="240"/>
      <c r="W207" s="241"/>
      <c r="X207" s="83"/>
    </row>
    <row r="208" spans="1:24" s="13" customFormat="1" ht="31.5">
      <c r="A208" s="72" t="s">
        <v>348</v>
      </c>
      <c r="B208" s="22" t="s">
        <v>173</v>
      </c>
      <c r="C208" s="284"/>
      <c r="D208" s="238">
        <v>3387.8</v>
      </c>
      <c r="E208" s="239">
        <v>3387.8</v>
      </c>
      <c r="F208" s="355">
        <f t="shared" si="83"/>
        <v>0</v>
      </c>
      <c r="G208" s="272"/>
      <c r="H208" s="239"/>
      <c r="I208" s="140">
        <f t="shared" si="84"/>
        <v>0</v>
      </c>
      <c r="J208" s="240"/>
      <c r="K208" s="241"/>
      <c r="L208" s="338"/>
      <c r="M208" s="272"/>
      <c r="N208" s="239"/>
      <c r="O208" s="140">
        <f t="shared" si="85"/>
        <v>0</v>
      </c>
      <c r="P208" s="240"/>
      <c r="Q208" s="241"/>
      <c r="R208" s="338"/>
      <c r="S208" s="272"/>
      <c r="T208" s="239"/>
      <c r="U208" s="140">
        <f t="shared" si="86"/>
        <v>0</v>
      </c>
      <c r="V208" s="240"/>
      <c r="W208" s="241"/>
      <c r="X208" s="83"/>
    </row>
    <row r="209" spans="1:24" s="13" customFormat="1" ht="35.25" customHeight="1">
      <c r="A209" s="72" t="s">
        <v>349</v>
      </c>
      <c r="B209" s="22" t="s">
        <v>229</v>
      </c>
      <c r="C209" s="284"/>
      <c r="D209" s="238">
        <v>2353.40941</v>
      </c>
      <c r="E209" s="239">
        <v>5353.40941</v>
      </c>
      <c r="F209" s="355">
        <f t="shared" si="83"/>
        <v>3000</v>
      </c>
      <c r="G209" s="272"/>
      <c r="H209" s="239"/>
      <c r="I209" s="140">
        <f t="shared" si="84"/>
        <v>0</v>
      </c>
      <c r="J209" s="240"/>
      <c r="K209" s="241"/>
      <c r="L209" s="338"/>
      <c r="M209" s="238"/>
      <c r="N209" s="239"/>
      <c r="O209" s="140">
        <f t="shared" si="85"/>
        <v>0</v>
      </c>
      <c r="P209" s="240"/>
      <c r="Q209" s="241"/>
      <c r="R209" s="338"/>
      <c r="S209" s="272"/>
      <c r="T209" s="239">
        <v>3000</v>
      </c>
      <c r="U209" s="140">
        <f t="shared" si="86"/>
        <v>3000</v>
      </c>
      <c r="V209" s="240"/>
      <c r="W209" s="241"/>
      <c r="X209" s="83"/>
    </row>
    <row r="210" spans="1:24" s="13" customFormat="1" ht="15" customHeight="1">
      <c r="A210" s="72" t="s">
        <v>350</v>
      </c>
      <c r="B210" s="22" t="s">
        <v>199</v>
      </c>
      <c r="C210" s="284"/>
      <c r="D210" s="238">
        <f>3000-1095</f>
        <v>1905</v>
      </c>
      <c r="E210" s="239">
        <f>3000-1095</f>
        <v>1905</v>
      </c>
      <c r="F210" s="355">
        <f t="shared" si="83"/>
        <v>0</v>
      </c>
      <c r="G210" s="272"/>
      <c r="H210" s="239"/>
      <c r="I210" s="140">
        <f t="shared" si="84"/>
        <v>0</v>
      </c>
      <c r="J210" s="240"/>
      <c r="K210" s="241"/>
      <c r="L210" s="338"/>
      <c r="M210" s="238"/>
      <c r="N210" s="239"/>
      <c r="O210" s="140">
        <f t="shared" si="85"/>
        <v>0</v>
      </c>
      <c r="P210" s="240"/>
      <c r="Q210" s="241"/>
      <c r="R210" s="338"/>
      <c r="S210" s="272"/>
      <c r="T210" s="239"/>
      <c r="U210" s="140">
        <f t="shared" si="86"/>
        <v>0</v>
      </c>
      <c r="V210" s="240"/>
      <c r="W210" s="241"/>
      <c r="X210" s="83"/>
    </row>
    <row r="211" spans="1:24" s="13" customFormat="1" ht="15" customHeight="1">
      <c r="A211" s="72" t="s">
        <v>351</v>
      </c>
      <c r="B211" s="22" t="s">
        <v>504</v>
      </c>
      <c r="C211" s="284"/>
      <c r="D211" s="238"/>
      <c r="E211" s="239">
        <v>2150</v>
      </c>
      <c r="F211" s="355">
        <f t="shared" si="83"/>
        <v>2150</v>
      </c>
      <c r="G211" s="272"/>
      <c r="H211" s="239">
        <v>2150</v>
      </c>
      <c r="I211" s="140"/>
      <c r="J211" s="240"/>
      <c r="K211" s="241"/>
      <c r="L211" s="338"/>
      <c r="M211" s="238"/>
      <c r="N211" s="239"/>
      <c r="O211" s="140"/>
      <c r="P211" s="240"/>
      <c r="Q211" s="241"/>
      <c r="R211" s="338"/>
      <c r="S211" s="272"/>
      <c r="T211" s="239"/>
      <c r="U211" s="140"/>
      <c r="V211" s="240"/>
      <c r="W211" s="241"/>
      <c r="X211" s="83"/>
    </row>
    <row r="212" spans="1:24" s="13" customFormat="1" ht="15" customHeight="1">
      <c r="A212" s="72" t="s">
        <v>352</v>
      </c>
      <c r="B212" s="22" t="s">
        <v>17</v>
      </c>
      <c r="C212" s="284"/>
      <c r="D212" s="238">
        <v>650</v>
      </c>
      <c r="E212" s="239">
        <v>650</v>
      </c>
      <c r="F212" s="355">
        <f t="shared" si="83"/>
        <v>0</v>
      </c>
      <c r="G212" s="272"/>
      <c r="H212" s="239"/>
      <c r="I212" s="140">
        <f t="shared" si="84"/>
        <v>0</v>
      </c>
      <c r="J212" s="240"/>
      <c r="K212" s="241"/>
      <c r="L212" s="338"/>
      <c r="M212" s="238"/>
      <c r="N212" s="239"/>
      <c r="O212" s="140">
        <f t="shared" si="85"/>
        <v>0</v>
      </c>
      <c r="P212" s="240"/>
      <c r="Q212" s="241"/>
      <c r="R212" s="338"/>
      <c r="S212" s="272"/>
      <c r="T212" s="239"/>
      <c r="U212" s="140">
        <f t="shared" si="86"/>
        <v>0</v>
      </c>
      <c r="V212" s="240"/>
      <c r="W212" s="241"/>
      <c r="X212" s="83"/>
    </row>
    <row r="213" spans="1:24" s="181" customFormat="1" ht="48" customHeight="1">
      <c r="A213" s="72" t="s">
        <v>353</v>
      </c>
      <c r="B213" s="179" t="s">
        <v>83</v>
      </c>
      <c r="C213" s="284"/>
      <c r="D213" s="285">
        <f>SUM(D214:D223)</f>
        <v>3714.189</v>
      </c>
      <c r="E213" s="286">
        <f>SUM(E214:E223)</f>
        <v>4731.989</v>
      </c>
      <c r="F213" s="361">
        <f>SUM(F214:F220)</f>
        <v>99.76299999999998</v>
      </c>
      <c r="G213" s="264">
        <f>SUM(G214:G223)</f>
        <v>0</v>
      </c>
      <c r="H213" s="286">
        <f>SUM(H214:H223)</f>
        <v>1017.8</v>
      </c>
      <c r="I213" s="143">
        <f>SUM(I214:I220)</f>
        <v>99.763</v>
      </c>
      <c r="J213" s="288"/>
      <c r="K213" s="289"/>
      <c r="L213" s="343"/>
      <c r="M213" s="285">
        <f>SUM(M214:M223)</f>
        <v>0</v>
      </c>
      <c r="N213" s="286">
        <f>SUM(N214:N223)</f>
        <v>0</v>
      </c>
      <c r="O213" s="143">
        <f>SUM(O214:O220)</f>
        <v>0</v>
      </c>
      <c r="P213" s="288"/>
      <c r="Q213" s="289"/>
      <c r="R213" s="343"/>
      <c r="S213" s="264">
        <f>SUM(S214:S223)</f>
        <v>0</v>
      </c>
      <c r="T213" s="286">
        <f>SUM(T214:T223)</f>
        <v>0</v>
      </c>
      <c r="U213" s="143">
        <f>SUM(U214:U220)</f>
        <v>0</v>
      </c>
      <c r="V213" s="288"/>
      <c r="W213" s="289"/>
      <c r="X213" s="85"/>
    </row>
    <row r="214" spans="1:24" s="13" customFormat="1" ht="15" customHeight="1">
      <c r="A214" s="72" t="s">
        <v>354</v>
      </c>
      <c r="B214" s="65" t="s">
        <v>77</v>
      </c>
      <c r="C214" s="284"/>
      <c r="D214" s="238">
        <v>800</v>
      </c>
      <c r="E214" s="239">
        <v>800</v>
      </c>
      <c r="F214" s="355">
        <f t="shared" si="83"/>
        <v>0</v>
      </c>
      <c r="G214" s="272"/>
      <c r="H214" s="239"/>
      <c r="I214" s="140">
        <f t="shared" si="84"/>
        <v>0</v>
      </c>
      <c r="J214" s="240"/>
      <c r="K214" s="241"/>
      <c r="L214" s="338"/>
      <c r="M214" s="238"/>
      <c r="N214" s="239"/>
      <c r="O214" s="140">
        <f aca="true" t="shared" si="87" ref="O214:O223">N214-M214</f>
        <v>0</v>
      </c>
      <c r="P214" s="240"/>
      <c r="Q214" s="241"/>
      <c r="R214" s="338"/>
      <c r="S214" s="272"/>
      <c r="T214" s="239"/>
      <c r="U214" s="140">
        <f aca="true" t="shared" si="88" ref="U214:U223">T214-S214</f>
        <v>0</v>
      </c>
      <c r="V214" s="240"/>
      <c r="W214" s="241"/>
      <c r="X214" s="83"/>
    </row>
    <row r="215" spans="1:24" s="13" customFormat="1" ht="15" customHeight="1">
      <c r="A215" s="72" t="s">
        <v>355</v>
      </c>
      <c r="B215" s="65" t="s">
        <v>728</v>
      </c>
      <c r="C215" s="284"/>
      <c r="D215" s="238">
        <v>374</v>
      </c>
      <c r="E215" s="239">
        <v>473.763</v>
      </c>
      <c r="F215" s="355">
        <f t="shared" si="83"/>
        <v>99.76299999999998</v>
      </c>
      <c r="G215" s="272"/>
      <c r="H215" s="239">
        <v>99.763</v>
      </c>
      <c r="I215" s="140">
        <f t="shared" si="84"/>
        <v>99.763</v>
      </c>
      <c r="J215" s="240"/>
      <c r="K215" s="241"/>
      <c r="L215" s="338"/>
      <c r="M215" s="238"/>
      <c r="N215" s="239"/>
      <c r="O215" s="140">
        <f t="shared" si="87"/>
        <v>0</v>
      </c>
      <c r="P215" s="240"/>
      <c r="Q215" s="241"/>
      <c r="R215" s="338"/>
      <c r="S215" s="272"/>
      <c r="T215" s="239"/>
      <c r="U215" s="140">
        <f t="shared" si="88"/>
        <v>0</v>
      </c>
      <c r="V215" s="240"/>
      <c r="W215" s="241"/>
      <c r="X215" s="83"/>
    </row>
    <row r="216" spans="1:24" s="13" customFormat="1" ht="15" customHeight="1">
      <c r="A216" s="72" t="s">
        <v>356</v>
      </c>
      <c r="B216" s="65" t="s">
        <v>729</v>
      </c>
      <c r="C216" s="284"/>
      <c r="D216" s="238">
        <f>299.992</f>
        <v>299.992</v>
      </c>
      <c r="E216" s="239">
        <f>299.992</f>
        <v>299.992</v>
      </c>
      <c r="F216" s="355">
        <f t="shared" si="83"/>
        <v>0</v>
      </c>
      <c r="G216" s="272"/>
      <c r="H216" s="239"/>
      <c r="I216" s="140">
        <f t="shared" si="84"/>
        <v>0</v>
      </c>
      <c r="J216" s="240"/>
      <c r="K216" s="241"/>
      <c r="L216" s="338"/>
      <c r="M216" s="238"/>
      <c r="N216" s="239"/>
      <c r="O216" s="140">
        <f t="shared" si="87"/>
        <v>0</v>
      </c>
      <c r="P216" s="240"/>
      <c r="Q216" s="241"/>
      <c r="R216" s="338"/>
      <c r="S216" s="272"/>
      <c r="T216" s="239"/>
      <c r="U216" s="140">
        <f t="shared" si="88"/>
        <v>0</v>
      </c>
      <c r="V216" s="240"/>
      <c r="W216" s="241"/>
      <c r="X216" s="83"/>
    </row>
    <row r="217" spans="1:24" s="13" customFormat="1" ht="15" customHeight="1">
      <c r="A217" s="72" t="s">
        <v>357</v>
      </c>
      <c r="B217" s="65" t="s">
        <v>28</v>
      </c>
      <c r="C217" s="284"/>
      <c r="D217" s="238">
        <v>785</v>
      </c>
      <c r="E217" s="239">
        <v>785</v>
      </c>
      <c r="F217" s="355">
        <f t="shared" si="83"/>
        <v>0</v>
      </c>
      <c r="G217" s="272"/>
      <c r="H217" s="239"/>
      <c r="I217" s="140">
        <f t="shared" si="84"/>
        <v>0</v>
      </c>
      <c r="J217" s="240"/>
      <c r="K217" s="241"/>
      <c r="L217" s="338"/>
      <c r="M217" s="238"/>
      <c r="N217" s="239"/>
      <c r="O217" s="140">
        <f t="shared" si="87"/>
        <v>0</v>
      </c>
      <c r="P217" s="240"/>
      <c r="Q217" s="241"/>
      <c r="R217" s="338"/>
      <c r="S217" s="272"/>
      <c r="T217" s="239"/>
      <c r="U217" s="140">
        <f t="shared" si="88"/>
        <v>0</v>
      </c>
      <c r="V217" s="240"/>
      <c r="W217" s="241"/>
      <c r="X217" s="83"/>
    </row>
    <row r="218" spans="1:24" s="13" customFormat="1" ht="15" customHeight="1">
      <c r="A218" s="72" t="s">
        <v>358</v>
      </c>
      <c r="B218" s="65" t="s">
        <v>79</v>
      </c>
      <c r="C218" s="284"/>
      <c r="D218" s="238">
        <v>400</v>
      </c>
      <c r="E218" s="239">
        <v>400</v>
      </c>
      <c r="F218" s="355">
        <f t="shared" si="83"/>
        <v>0</v>
      </c>
      <c r="G218" s="272"/>
      <c r="H218" s="239"/>
      <c r="I218" s="140">
        <f t="shared" si="84"/>
        <v>0</v>
      </c>
      <c r="J218" s="240"/>
      <c r="K218" s="241"/>
      <c r="L218" s="338"/>
      <c r="M218" s="238"/>
      <c r="N218" s="239"/>
      <c r="O218" s="140">
        <f t="shared" si="87"/>
        <v>0</v>
      </c>
      <c r="P218" s="240"/>
      <c r="Q218" s="241"/>
      <c r="R218" s="338"/>
      <c r="S218" s="272"/>
      <c r="T218" s="239"/>
      <c r="U218" s="140">
        <f t="shared" si="88"/>
        <v>0</v>
      </c>
      <c r="V218" s="240"/>
      <c r="W218" s="241"/>
      <c r="X218" s="83"/>
    </row>
    <row r="219" spans="1:24" s="13" customFormat="1" ht="15" customHeight="1">
      <c r="A219" s="72" t="s">
        <v>359</v>
      </c>
      <c r="B219" s="65" t="s">
        <v>31</v>
      </c>
      <c r="C219" s="284"/>
      <c r="D219" s="238">
        <v>799.997</v>
      </c>
      <c r="E219" s="239">
        <v>799.997</v>
      </c>
      <c r="F219" s="355">
        <f t="shared" si="83"/>
        <v>0</v>
      </c>
      <c r="G219" s="272"/>
      <c r="H219" s="239"/>
      <c r="I219" s="140">
        <f t="shared" si="84"/>
        <v>0</v>
      </c>
      <c r="J219" s="240"/>
      <c r="K219" s="241"/>
      <c r="L219" s="338"/>
      <c r="M219" s="272"/>
      <c r="N219" s="239"/>
      <c r="O219" s="140">
        <f t="shared" si="87"/>
        <v>0</v>
      </c>
      <c r="P219" s="240"/>
      <c r="Q219" s="241"/>
      <c r="R219" s="338"/>
      <c r="S219" s="272"/>
      <c r="T219" s="239"/>
      <c r="U219" s="140">
        <f t="shared" si="88"/>
        <v>0</v>
      </c>
      <c r="V219" s="240"/>
      <c r="W219" s="241"/>
      <c r="X219" s="83"/>
    </row>
    <row r="220" spans="1:24" s="13" customFormat="1" ht="15" customHeight="1">
      <c r="A220" s="72" t="s">
        <v>360</v>
      </c>
      <c r="B220" s="65" t="s">
        <v>64</v>
      </c>
      <c r="C220" s="284"/>
      <c r="D220" s="238">
        <v>255.2</v>
      </c>
      <c r="E220" s="239">
        <v>255.2</v>
      </c>
      <c r="F220" s="355">
        <f t="shared" si="83"/>
        <v>0</v>
      </c>
      <c r="G220" s="272"/>
      <c r="H220" s="239"/>
      <c r="I220" s="140">
        <f t="shared" si="84"/>
        <v>0</v>
      </c>
      <c r="J220" s="240"/>
      <c r="K220" s="241"/>
      <c r="L220" s="338"/>
      <c r="M220" s="272"/>
      <c r="N220" s="239"/>
      <c r="O220" s="140">
        <f t="shared" si="87"/>
        <v>0</v>
      </c>
      <c r="P220" s="240"/>
      <c r="Q220" s="241"/>
      <c r="R220" s="338"/>
      <c r="S220" s="272"/>
      <c r="T220" s="239"/>
      <c r="U220" s="140">
        <f t="shared" si="88"/>
        <v>0</v>
      </c>
      <c r="V220" s="240"/>
      <c r="W220" s="241"/>
      <c r="X220" s="83"/>
    </row>
    <row r="221" spans="1:24" s="13" customFormat="1" ht="15" customHeight="1">
      <c r="A221" s="72" t="s">
        <v>361</v>
      </c>
      <c r="B221" s="65" t="s">
        <v>65</v>
      </c>
      <c r="C221" s="284"/>
      <c r="D221" s="238"/>
      <c r="E221" s="239">
        <v>500.237</v>
      </c>
      <c r="F221" s="355">
        <f t="shared" si="83"/>
        <v>500.237</v>
      </c>
      <c r="G221" s="272"/>
      <c r="H221" s="239">
        <v>500.237</v>
      </c>
      <c r="I221" s="140">
        <f t="shared" si="84"/>
        <v>500.237</v>
      </c>
      <c r="J221" s="240"/>
      <c r="K221" s="241"/>
      <c r="L221" s="338"/>
      <c r="M221" s="272"/>
      <c r="N221" s="239"/>
      <c r="O221" s="140">
        <f t="shared" si="87"/>
        <v>0</v>
      </c>
      <c r="P221" s="240"/>
      <c r="Q221" s="241"/>
      <c r="R221" s="338"/>
      <c r="S221" s="272"/>
      <c r="T221" s="239"/>
      <c r="U221" s="140">
        <f t="shared" si="88"/>
        <v>0</v>
      </c>
      <c r="V221" s="240"/>
      <c r="W221" s="241"/>
      <c r="X221" s="83"/>
    </row>
    <row r="222" spans="1:24" s="13" customFormat="1" ht="15" customHeight="1">
      <c r="A222" s="72" t="s">
        <v>362</v>
      </c>
      <c r="B222" s="65" t="s">
        <v>505</v>
      </c>
      <c r="C222" s="284"/>
      <c r="D222" s="238"/>
      <c r="E222" s="239">
        <v>117.8</v>
      </c>
      <c r="F222" s="355">
        <f t="shared" si="83"/>
        <v>117.8</v>
      </c>
      <c r="G222" s="272"/>
      <c r="H222" s="239">
        <v>117.8</v>
      </c>
      <c r="I222" s="140">
        <f t="shared" si="84"/>
        <v>117.8</v>
      </c>
      <c r="J222" s="240"/>
      <c r="K222" s="241"/>
      <c r="L222" s="338"/>
      <c r="M222" s="272"/>
      <c r="N222" s="239"/>
      <c r="O222" s="140">
        <f t="shared" si="87"/>
        <v>0</v>
      </c>
      <c r="P222" s="240"/>
      <c r="Q222" s="241"/>
      <c r="R222" s="338"/>
      <c r="S222" s="272"/>
      <c r="T222" s="239"/>
      <c r="U222" s="140">
        <f t="shared" si="88"/>
        <v>0</v>
      </c>
      <c r="V222" s="240"/>
      <c r="W222" s="241"/>
      <c r="X222" s="83"/>
    </row>
    <row r="223" spans="1:24" s="13" customFormat="1" ht="15" customHeight="1">
      <c r="A223" s="72" t="s">
        <v>363</v>
      </c>
      <c r="B223" s="65" t="s">
        <v>506</v>
      </c>
      <c r="C223" s="284"/>
      <c r="D223" s="238"/>
      <c r="E223" s="239">
        <v>300</v>
      </c>
      <c r="F223" s="355">
        <f t="shared" si="83"/>
        <v>300</v>
      </c>
      <c r="G223" s="272"/>
      <c r="H223" s="239">
        <v>300</v>
      </c>
      <c r="I223" s="140">
        <f t="shared" si="84"/>
        <v>300</v>
      </c>
      <c r="J223" s="240"/>
      <c r="K223" s="241"/>
      <c r="L223" s="338"/>
      <c r="M223" s="272"/>
      <c r="N223" s="239"/>
      <c r="O223" s="140">
        <f t="shared" si="87"/>
        <v>0</v>
      </c>
      <c r="P223" s="240"/>
      <c r="Q223" s="241"/>
      <c r="R223" s="338"/>
      <c r="S223" s="272"/>
      <c r="T223" s="239"/>
      <c r="U223" s="140">
        <f t="shared" si="88"/>
        <v>0</v>
      </c>
      <c r="V223" s="240"/>
      <c r="W223" s="241"/>
      <c r="X223" s="83"/>
    </row>
    <row r="224" spans="1:24" s="13" customFormat="1" ht="15" customHeight="1">
      <c r="A224" s="75"/>
      <c r="B224" s="311"/>
      <c r="C224" s="284"/>
      <c r="D224" s="239"/>
      <c r="E224" s="239"/>
      <c r="F224" s="355"/>
      <c r="G224" s="272"/>
      <c r="H224" s="239"/>
      <c r="I224" s="140"/>
      <c r="J224" s="240"/>
      <c r="K224" s="241"/>
      <c r="L224" s="338"/>
      <c r="M224" s="272"/>
      <c r="N224" s="239"/>
      <c r="O224" s="140"/>
      <c r="P224" s="240"/>
      <c r="Q224" s="241"/>
      <c r="R224" s="338"/>
      <c r="S224" s="272"/>
      <c r="T224" s="239"/>
      <c r="U224" s="140"/>
      <c r="V224" s="240"/>
      <c r="W224" s="241"/>
      <c r="X224" s="83"/>
    </row>
    <row r="225" spans="1:24" s="181" customFormat="1" ht="96.75" customHeight="1">
      <c r="A225" s="75" t="s">
        <v>364</v>
      </c>
      <c r="B225" s="182" t="s">
        <v>134</v>
      </c>
      <c r="C225" s="296" t="s">
        <v>725</v>
      </c>
      <c r="D225" s="285">
        <f aca="true" t="shared" si="89" ref="D225:I225">SUM(D226:D228)</f>
        <v>2694.4</v>
      </c>
      <c r="E225" s="286">
        <f t="shared" si="89"/>
        <v>2694.4</v>
      </c>
      <c r="F225" s="361">
        <f t="shared" si="89"/>
        <v>0</v>
      </c>
      <c r="G225" s="264">
        <f>SUM(G226:G228)</f>
        <v>0</v>
      </c>
      <c r="H225" s="286">
        <f>SUM(H226:H228)</f>
        <v>0</v>
      </c>
      <c r="I225" s="143">
        <f t="shared" si="89"/>
        <v>0</v>
      </c>
      <c r="J225" s="281" t="s">
        <v>589</v>
      </c>
      <c r="K225" s="282" t="s">
        <v>589</v>
      </c>
      <c r="L225" s="344" t="s">
        <v>588</v>
      </c>
      <c r="M225" s="264">
        <f>SUM(M226:M228)</f>
        <v>0</v>
      </c>
      <c r="N225" s="286">
        <f>SUM(N226:N228)</f>
        <v>0</v>
      </c>
      <c r="O225" s="143">
        <f>SUM(O226:O228)</f>
        <v>0</v>
      </c>
      <c r="P225" s="281" t="s">
        <v>590</v>
      </c>
      <c r="Q225" s="282" t="s">
        <v>590</v>
      </c>
      <c r="R225" s="344" t="s">
        <v>588</v>
      </c>
      <c r="S225" s="264">
        <f>SUM(S226:S228)</f>
        <v>0</v>
      </c>
      <c r="T225" s="286">
        <f>SUM(T226:T228)</f>
        <v>0</v>
      </c>
      <c r="U225" s="143">
        <f>SUM(U226:U228)</f>
        <v>0</v>
      </c>
      <c r="V225" s="281" t="s">
        <v>702</v>
      </c>
      <c r="W225" s="312" t="s">
        <v>702</v>
      </c>
      <c r="X225" s="283" t="s">
        <v>588</v>
      </c>
    </row>
    <row r="226" spans="1:24" s="13" customFormat="1" ht="15" customHeight="1">
      <c r="A226" s="75" t="s">
        <v>365</v>
      </c>
      <c r="B226" s="22" t="s">
        <v>7</v>
      </c>
      <c r="C226" s="284"/>
      <c r="D226" s="238">
        <v>700</v>
      </c>
      <c r="E226" s="239">
        <v>700</v>
      </c>
      <c r="F226" s="355">
        <f aca="true" t="shared" si="90" ref="F226:F231">E226-D226</f>
        <v>0</v>
      </c>
      <c r="G226" s="272"/>
      <c r="H226" s="239"/>
      <c r="I226" s="140">
        <f aca="true" t="shared" si="91" ref="I226:I231">H226-G226</f>
        <v>0</v>
      </c>
      <c r="J226" s="240"/>
      <c r="K226" s="241"/>
      <c r="L226" s="338"/>
      <c r="M226" s="238"/>
      <c r="N226" s="239"/>
      <c r="O226" s="140">
        <f>N226-M226</f>
        <v>0</v>
      </c>
      <c r="P226" s="240"/>
      <c r="Q226" s="241"/>
      <c r="R226" s="338"/>
      <c r="S226" s="272"/>
      <c r="T226" s="239"/>
      <c r="U226" s="140">
        <f>T226-S226</f>
        <v>0</v>
      </c>
      <c r="V226" s="240"/>
      <c r="W226" s="241"/>
      <c r="X226" s="83"/>
    </row>
    <row r="227" spans="1:24" s="13" customFormat="1" ht="15" customHeight="1">
      <c r="A227" s="75" t="s">
        <v>366</v>
      </c>
      <c r="B227" s="22" t="s">
        <v>8</v>
      </c>
      <c r="C227" s="284"/>
      <c r="D227" s="238">
        <v>1396</v>
      </c>
      <c r="E227" s="239">
        <v>1396</v>
      </c>
      <c r="F227" s="355">
        <f t="shared" si="90"/>
        <v>0</v>
      </c>
      <c r="G227" s="272"/>
      <c r="H227" s="239"/>
      <c r="I227" s="140">
        <f t="shared" si="91"/>
        <v>0</v>
      </c>
      <c r="J227" s="240"/>
      <c r="K227" s="241"/>
      <c r="L227" s="338"/>
      <c r="M227" s="238"/>
      <c r="N227" s="239"/>
      <c r="O227" s="140">
        <f>N227-M227</f>
        <v>0</v>
      </c>
      <c r="P227" s="240"/>
      <c r="Q227" s="241"/>
      <c r="R227" s="338"/>
      <c r="S227" s="272"/>
      <c r="T227" s="239"/>
      <c r="U227" s="140">
        <f>T227-S227</f>
        <v>0</v>
      </c>
      <c r="V227" s="240"/>
      <c r="W227" s="241"/>
      <c r="X227" s="83"/>
    </row>
    <row r="228" spans="1:24" s="13" customFormat="1" ht="15" customHeight="1">
      <c r="A228" s="75" t="s">
        <v>367</v>
      </c>
      <c r="B228" s="19" t="s">
        <v>9</v>
      </c>
      <c r="C228" s="284"/>
      <c r="D228" s="238">
        <v>598.4</v>
      </c>
      <c r="E228" s="239">
        <v>598.4</v>
      </c>
      <c r="F228" s="355">
        <f t="shared" si="90"/>
        <v>0</v>
      </c>
      <c r="G228" s="272"/>
      <c r="H228" s="239"/>
      <c r="I228" s="140">
        <f t="shared" si="91"/>
        <v>0</v>
      </c>
      <c r="J228" s="240"/>
      <c r="K228" s="241"/>
      <c r="L228" s="338"/>
      <c r="M228" s="238"/>
      <c r="N228" s="239"/>
      <c r="O228" s="140">
        <f>N228-M228</f>
        <v>0</v>
      </c>
      <c r="P228" s="240"/>
      <c r="Q228" s="241"/>
      <c r="R228" s="338"/>
      <c r="S228" s="272"/>
      <c r="T228" s="239"/>
      <c r="U228" s="140">
        <f>T228-S228</f>
        <v>0</v>
      </c>
      <c r="V228" s="240"/>
      <c r="W228" s="241"/>
      <c r="X228" s="83"/>
    </row>
    <row r="229" spans="1:24" s="21" customFormat="1" ht="15" customHeight="1">
      <c r="A229" s="74"/>
      <c r="B229" s="19" t="s">
        <v>19</v>
      </c>
      <c r="C229" s="295"/>
      <c r="D229" s="290"/>
      <c r="E229" s="291"/>
      <c r="F229" s="355"/>
      <c r="G229" s="342"/>
      <c r="H229" s="291"/>
      <c r="I229" s="140"/>
      <c r="J229" s="292"/>
      <c r="K229" s="293"/>
      <c r="L229" s="338"/>
      <c r="M229" s="290"/>
      <c r="N229" s="291"/>
      <c r="O229" s="140"/>
      <c r="P229" s="292"/>
      <c r="Q229" s="293"/>
      <c r="R229" s="338"/>
      <c r="S229" s="342"/>
      <c r="T229" s="291"/>
      <c r="U229" s="140"/>
      <c r="V229" s="292"/>
      <c r="W229" s="293"/>
      <c r="X229" s="83"/>
    </row>
    <row r="230" spans="1:24" s="13" customFormat="1" ht="15" customHeight="1">
      <c r="A230" s="72" t="s">
        <v>368</v>
      </c>
      <c r="B230" s="22" t="s">
        <v>31</v>
      </c>
      <c r="C230" s="284"/>
      <c r="D230" s="238">
        <v>1347.2</v>
      </c>
      <c r="E230" s="239">
        <v>1347.2</v>
      </c>
      <c r="F230" s="355">
        <f t="shared" si="90"/>
        <v>0</v>
      </c>
      <c r="G230" s="272"/>
      <c r="H230" s="239"/>
      <c r="I230" s="140">
        <f t="shared" si="91"/>
        <v>0</v>
      </c>
      <c r="J230" s="240"/>
      <c r="K230" s="241"/>
      <c r="L230" s="338"/>
      <c r="M230" s="238"/>
      <c r="N230" s="239"/>
      <c r="O230" s="140">
        <f>N230-M230</f>
        <v>0</v>
      </c>
      <c r="P230" s="240"/>
      <c r="Q230" s="241"/>
      <c r="R230" s="338"/>
      <c r="S230" s="272"/>
      <c r="T230" s="239"/>
      <c r="U230" s="140">
        <f>T230-S230</f>
        <v>0</v>
      </c>
      <c r="V230" s="240"/>
      <c r="W230" s="241"/>
      <c r="X230" s="83"/>
    </row>
    <row r="231" spans="1:24" s="13" customFormat="1" ht="15" customHeight="1">
      <c r="A231" s="72" t="s">
        <v>369</v>
      </c>
      <c r="B231" s="22" t="s">
        <v>65</v>
      </c>
      <c r="C231" s="284"/>
      <c r="D231" s="238">
        <v>1347.2</v>
      </c>
      <c r="E231" s="239">
        <v>1347.2</v>
      </c>
      <c r="F231" s="355">
        <f t="shared" si="90"/>
        <v>0</v>
      </c>
      <c r="G231" s="272"/>
      <c r="H231" s="239"/>
      <c r="I231" s="140">
        <f t="shared" si="91"/>
        <v>0</v>
      </c>
      <c r="J231" s="240"/>
      <c r="K231" s="241"/>
      <c r="L231" s="338"/>
      <c r="M231" s="238"/>
      <c r="N231" s="239"/>
      <c r="O231" s="140">
        <f>N231-M231</f>
        <v>0</v>
      </c>
      <c r="P231" s="240"/>
      <c r="Q231" s="241"/>
      <c r="R231" s="338"/>
      <c r="S231" s="272"/>
      <c r="T231" s="239"/>
      <c r="U231" s="140">
        <f>T231-S231</f>
        <v>0</v>
      </c>
      <c r="V231" s="240"/>
      <c r="W231" s="241"/>
      <c r="X231" s="83"/>
    </row>
    <row r="232" spans="1:24" s="13" customFormat="1" ht="15" customHeight="1">
      <c r="A232" s="72"/>
      <c r="B232" s="22"/>
      <c r="C232" s="284"/>
      <c r="D232" s="238"/>
      <c r="E232" s="239"/>
      <c r="F232" s="355"/>
      <c r="G232" s="272"/>
      <c r="H232" s="239"/>
      <c r="I232" s="140"/>
      <c r="J232" s="240"/>
      <c r="K232" s="241"/>
      <c r="L232" s="338"/>
      <c r="M232" s="238"/>
      <c r="N232" s="239"/>
      <c r="O232" s="140"/>
      <c r="P232" s="240"/>
      <c r="Q232" s="241"/>
      <c r="R232" s="338"/>
      <c r="S232" s="272"/>
      <c r="T232" s="239"/>
      <c r="U232" s="140"/>
      <c r="V232" s="240"/>
      <c r="W232" s="241"/>
      <c r="X232" s="83"/>
    </row>
    <row r="233" spans="1:24" s="181" customFormat="1" ht="307.5" customHeight="1">
      <c r="A233" s="75" t="s">
        <v>370</v>
      </c>
      <c r="B233" s="177" t="s">
        <v>135</v>
      </c>
      <c r="C233" s="296" t="s">
        <v>591</v>
      </c>
      <c r="D233" s="285">
        <f aca="true" t="shared" si="92" ref="D233:I233">SUM(D234)</f>
        <v>1379809.2</v>
      </c>
      <c r="E233" s="286">
        <f t="shared" si="92"/>
        <v>1420081.2</v>
      </c>
      <c r="F233" s="361">
        <f t="shared" si="92"/>
        <v>40272</v>
      </c>
      <c r="G233" s="264">
        <f>SUM(G234)</f>
        <v>204173</v>
      </c>
      <c r="H233" s="286">
        <f>SUM(H234)</f>
        <v>214313</v>
      </c>
      <c r="I233" s="143">
        <f t="shared" si="92"/>
        <v>10140</v>
      </c>
      <c r="J233" s="281" t="s">
        <v>593</v>
      </c>
      <c r="K233" s="282" t="s">
        <v>593</v>
      </c>
      <c r="L233" s="344" t="s">
        <v>592</v>
      </c>
      <c r="M233" s="349">
        <f>SUM(M234)</f>
        <v>204173</v>
      </c>
      <c r="N233" s="286">
        <f>SUM(N234)</f>
        <v>216188</v>
      </c>
      <c r="O233" s="143">
        <f>SUM(O234)</f>
        <v>12015</v>
      </c>
      <c r="P233" s="281" t="s">
        <v>594</v>
      </c>
      <c r="Q233" s="282" t="s">
        <v>594</v>
      </c>
      <c r="R233" s="348" t="s">
        <v>592</v>
      </c>
      <c r="S233" s="349">
        <f>SUM(S234)</f>
        <v>204173</v>
      </c>
      <c r="T233" s="286">
        <f>SUM(T234)</f>
        <v>222290</v>
      </c>
      <c r="U233" s="143">
        <f>SUM(U234)</f>
        <v>18117</v>
      </c>
      <c r="V233" s="281" t="s">
        <v>703</v>
      </c>
      <c r="W233" s="282" t="s">
        <v>703</v>
      </c>
      <c r="X233" s="283" t="s">
        <v>592</v>
      </c>
    </row>
    <row r="234" spans="1:24" s="13" customFormat="1" ht="15" customHeight="1">
      <c r="A234" s="72" t="s">
        <v>371</v>
      </c>
      <c r="B234" s="22" t="s">
        <v>9</v>
      </c>
      <c r="C234" s="284"/>
      <c r="D234" s="238">
        <v>1379809.2</v>
      </c>
      <c r="E234" s="239">
        <v>1420081.2</v>
      </c>
      <c r="F234" s="355">
        <f>E234-D234</f>
        <v>40272</v>
      </c>
      <c r="G234" s="272">
        <v>204173</v>
      </c>
      <c r="H234" s="239">
        <v>214313</v>
      </c>
      <c r="I234" s="140">
        <f>H234-G234</f>
        <v>10140</v>
      </c>
      <c r="J234" s="240"/>
      <c r="K234" s="241"/>
      <c r="L234" s="338"/>
      <c r="M234" s="272">
        <v>204173</v>
      </c>
      <c r="N234" s="239">
        <v>216188</v>
      </c>
      <c r="O234" s="140">
        <f>N234-M234</f>
        <v>12015</v>
      </c>
      <c r="P234" s="240"/>
      <c r="Q234" s="241"/>
      <c r="R234" s="338"/>
      <c r="S234" s="272">
        <v>204173</v>
      </c>
      <c r="T234" s="239">
        <v>222290</v>
      </c>
      <c r="U234" s="140">
        <f>T234-S234</f>
        <v>18117</v>
      </c>
      <c r="V234" s="240"/>
      <c r="W234" s="241"/>
      <c r="X234" s="83"/>
    </row>
    <row r="235" spans="1:24" s="13" customFormat="1" ht="15" customHeight="1">
      <c r="A235" s="72"/>
      <c r="B235" s="22"/>
      <c r="C235" s="284"/>
      <c r="D235" s="239"/>
      <c r="E235" s="239"/>
      <c r="F235" s="355"/>
      <c r="G235" s="272"/>
      <c r="H235" s="239"/>
      <c r="I235" s="140"/>
      <c r="J235" s="240"/>
      <c r="K235" s="241"/>
      <c r="L235" s="338"/>
      <c r="M235" s="272"/>
      <c r="N235" s="239"/>
      <c r="O235" s="140"/>
      <c r="P235" s="240"/>
      <c r="Q235" s="241"/>
      <c r="R235" s="338"/>
      <c r="S235" s="272"/>
      <c r="T235" s="239"/>
      <c r="U235" s="140"/>
      <c r="V235" s="240"/>
      <c r="W235" s="241"/>
      <c r="X235" s="83"/>
    </row>
    <row r="236" spans="1:24" s="181" customFormat="1" ht="297.75" customHeight="1">
      <c r="A236" s="72" t="s">
        <v>372</v>
      </c>
      <c r="B236" s="176" t="s">
        <v>140</v>
      </c>
      <c r="C236" s="296" t="s">
        <v>595</v>
      </c>
      <c r="D236" s="285">
        <f aca="true" t="shared" si="93" ref="D236:I236">SUM(D237:D238)</f>
        <v>502107.90872</v>
      </c>
      <c r="E236" s="286">
        <f t="shared" si="93"/>
        <v>506042.40872</v>
      </c>
      <c r="F236" s="361">
        <f t="shared" si="93"/>
        <v>3934.5</v>
      </c>
      <c r="G236" s="264">
        <f>SUM(G237:G238)</f>
        <v>64529.6</v>
      </c>
      <c r="H236" s="286">
        <f>SUM(H237:H238)</f>
        <v>63150</v>
      </c>
      <c r="I236" s="143">
        <f t="shared" si="93"/>
        <v>-1379.5999999999985</v>
      </c>
      <c r="J236" s="281" t="s">
        <v>593</v>
      </c>
      <c r="K236" s="282" t="s">
        <v>593</v>
      </c>
      <c r="L236" s="344" t="s">
        <v>592</v>
      </c>
      <c r="M236" s="264">
        <f>SUM(M237:M238)</f>
        <v>66077.7</v>
      </c>
      <c r="N236" s="286">
        <f>SUM(N237:N238)</f>
        <v>67940</v>
      </c>
      <c r="O236" s="143">
        <f>SUM(O237:O238)</f>
        <v>1862.300000000003</v>
      </c>
      <c r="P236" s="281" t="s">
        <v>594</v>
      </c>
      <c r="Q236" s="282" t="s">
        <v>594</v>
      </c>
      <c r="R236" s="344" t="s">
        <v>592</v>
      </c>
      <c r="S236" s="264">
        <v>63777.7</v>
      </c>
      <c r="T236" s="286">
        <f>SUM(T237:T238)</f>
        <v>69529.5</v>
      </c>
      <c r="U236" s="143">
        <f>SUM(U237:U238)</f>
        <v>3451.800000000003</v>
      </c>
      <c r="V236" s="281" t="s">
        <v>703</v>
      </c>
      <c r="W236" s="282" t="s">
        <v>703</v>
      </c>
      <c r="X236" s="283" t="s">
        <v>592</v>
      </c>
    </row>
    <row r="237" spans="1:24" s="13" customFormat="1" ht="15" customHeight="1">
      <c r="A237" s="72" t="s">
        <v>373</v>
      </c>
      <c r="B237" s="19" t="s">
        <v>7</v>
      </c>
      <c r="C237" s="284"/>
      <c r="D237" s="238">
        <f>492306.37459+124.359+477.17513</f>
        <v>492907.90872</v>
      </c>
      <c r="E237" s="239">
        <v>496842.40872</v>
      </c>
      <c r="F237" s="355">
        <f>E237-D237</f>
        <v>3934.5</v>
      </c>
      <c r="G237" s="272">
        <v>62229.6</v>
      </c>
      <c r="H237" s="239">
        <v>60850</v>
      </c>
      <c r="I237" s="140">
        <f>H237-G237</f>
        <v>-1379.5999999999985</v>
      </c>
      <c r="J237" s="240"/>
      <c r="K237" s="241"/>
      <c r="L237" s="338"/>
      <c r="M237" s="272">
        <v>63777.7</v>
      </c>
      <c r="N237" s="239">
        <v>65640</v>
      </c>
      <c r="O237" s="140">
        <f>N237-M237</f>
        <v>1862.300000000003</v>
      </c>
      <c r="P237" s="240"/>
      <c r="Q237" s="241"/>
      <c r="R237" s="338"/>
      <c r="S237" s="272">
        <v>63777.7</v>
      </c>
      <c r="T237" s="239">
        <v>67229.5</v>
      </c>
      <c r="U237" s="140">
        <f>T237-S237</f>
        <v>3451.800000000003</v>
      </c>
      <c r="V237" s="240"/>
      <c r="W237" s="241"/>
      <c r="X237" s="83"/>
    </row>
    <row r="238" spans="1:24" s="13" customFormat="1" ht="15" customHeight="1">
      <c r="A238" s="72" t="s">
        <v>374</v>
      </c>
      <c r="B238" s="22" t="s">
        <v>10</v>
      </c>
      <c r="C238" s="284"/>
      <c r="D238" s="272">
        <v>9200</v>
      </c>
      <c r="E238" s="273">
        <v>9200</v>
      </c>
      <c r="F238" s="355">
        <f>E238-D238</f>
        <v>0</v>
      </c>
      <c r="G238" s="272">
        <v>2300</v>
      </c>
      <c r="H238" s="273">
        <v>2300</v>
      </c>
      <c r="I238" s="140">
        <f>H238-G238</f>
        <v>0</v>
      </c>
      <c r="J238" s="274"/>
      <c r="K238" s="275"/>
      <c r="L238" s="338"/>
      <c r="M238" s="272">
        <v>2300</v>
      </c>
      <c r="N238" s="273">
        <v>2300</v>
      </c>
      <c r="O238" s="140">
        <f>N238-M238</f>
        <v>0</v>
      </c>
      <c r="P238" s="274"/>
      <c r="Q238" s="275"/>
      <c r="R238" s="338"/>
      <c r="S238" s="272">
        <v>2300</v>
      </c>
      <c r="T238" s="273">
        <v>2300</v>
      </c>
      <c r="U238" s="140">
        <f>T238-S238</f>
        <v>0</v>
      </c>
      <c r="V238" s="274"/>
      <c r="W238" s="275"/>
      <c r="X238" s="118"/>
    </row>
    <row r="239" spans="1:24" s="13" customFormat="1" ht="15" customHeight="1">
      <c r="A239" s="72"/>
      <c r="B239" s="19"/>
      <c r="C239" s="284"/>
      <c r="D239" s="272"/>
      <c r="E239" s="273"/>
      <c r="F239" s="355"/>
      <c r="G239" s="272"/>
      <c r="H239" s="273"/>
      <c r="I239" s="145"/>
      <c r="J239" s="274"/>
      <c r="K239" s="275"/>
      <c r="L239" s="338"/>
      <c r="M239" s="272"/>
      <c r="N239" s="273"/>
      <c r="O239" s="145"/>
      <c r="P239" s="274"/>
      <c r="Q239" s="275"/>
      <c r="R239" s="338"/>
      <c r="S239" s="272"/>
      <c r="T239" s="273"/>
      <c r="U239" s="145"/>
      <c r="V239" s="274"/>
      <c r="W239" s="275"/>
      <c r="X239" s="118"/>
    </row>
    <row r="240" spans="1:24" s="13" customFormat="1" ht="111.75" customHeight="1">
      <c r="A240" s="75" t="s">
        <v>375</v>
      </c>
      <c r="B240" s="27" t="s">
        <v>136</v>
      </c>
      <c r="C240" s="280" t="s">
        <v>596</v>
      </c>
      <c r="D240" s="264">
        <f aca="true" t="shared" si="94" ref="D240:I240">SUM(D241+D245)</f>
        <v>263692.118</v>
      </c>
      <c r="E240" s="265">
        <f t="shared" si="94"/>
        <v>276874.118</v>
      </c>
      <c r="F240" s="361">
        <f t="shared" si="94"/>
        <v>13182</v>
      </c>
      <c r="G240" s="264">
        <f>SUM(G241+G245)</f>
        <v>33979.8</v>
      </c>
      <c r="H240" s="265">
        <f>SUM(H241+H245)</f>
        <v>36700</v>
      </c>
      <c r="I240" s="144">
        <f t="shared" si="94"/>
        <v>2720.199999999997</v>
      </c>
      <c r="J240" s="281" t="s">
        <v>598</v>
      </c>
      <c r="K240" s="282" t="s">
        <v>598</v>
      </c>
      <c r="L240" s="344" t="s">
        <v>597</v>
      </c>
      <c r="M240" s="264">
        <f>SUM(M241+M245)</f>
        <v>34061.7</v>
      </c>
      <c r="N240" s="265">
        <f>SUM(N241+N245)</f>
        <v>38870</v>
      </c>
      <c r="O240" s="144">
        <f>SUM(O241+O245)</f>
        <v>4808.300000000003</v>
      </c>
      <c r="P240" s="281" t="s">
        <v>598</v>
      </c>
      <c r="Q240" s="282" t="s">
        <v>598</v>
      </c>
      <c r="R240" s="344" t="s">
        <v>597</v>
      </c>
      <c r="S240" s="264">
        <f>SUM(S241+S245)</f>
        <v>33720</v>
      </c>
      <c r="T240" s="265">
        <f>SUM(T241+T245)</f>
        <v>39373.5</v>
      </c>
      <c r="U240" s="144">
        <f>SUM(U241+U245)</f>
        <v>5653.5</v>
      </c>
      <c r="V240" s="281" t="s">
        <v>704</v>
      </c>
      <c r="W240" s="282" t="s">
        <v>704</v>
      </c>
      <c r="X240" s="283" t="s">
        <v>597</v>
      </c>
    </row>
    <row r="241" spans="1:24" s="13" customFormat="1" ht="15" customHeight="1">
      <c r="A241" s="75" t="s">
        <v>376</v>
      </c>
      <c r="B241" s="19" t="s">
        <v>7</v>
      </c>
      <c r="C241" s="284"/>
      <c r="D241" s="238">
        <f>SUM(D243:D244)</f>
        <v>254194.718</v>
      </c>
      <c r="E241" s="239">
        <f>SUM(E243:E244)</f>
        <v>267376.718</v>
      </c>
      <c r="F241" s="355">
        <f>E241-D241</f>
        <v>13182</v>
      </c>
      <c r="G241" s="272">
        <f>SUM(G243:G244)</f>
        <v>33079.8</v>
      </c>
      <c r="H241" s="239">
        <f>SUM(H243:H244)</f>
        <v>35800</v>
      </c>
      <c r="I241" s="140">
        <f>H241-G241</f>
        <v>2720.199999999997</v>
      </c>
      <c r="J241" s="240"/>
      <c r="K241" s="241"/>
      <c r="L241" s="338"/>
      <c r="M241" s="272">
        <f>SUM(M243:M244)</f>
        <v>33161.7</v>
      </c>
      <c r="N241" s="239">
        <f>SUM(N243:N244)</f>
        <v>37970</v>
      </c>
      <c r="O241" s="140">
        <f>N241-M241</f>
        <v>4808.300000000003</v>
      </c>
      <c r="P241" s="240"/>
      <c r="Q241" s="241"/>
      <c r="R241" s="338"/>
      <c r="S241" s="272">
        <f>SUM(S243:S244)</f>
        <v>32820</v>
      </c>
      <c r="T241" s="239">
        <f>SUM(T243:T244)</f>
        <v>38473.5</v>
      </c>
      <c r="U241" s="140">
        <f>T241-S241</f>
        <v>5653.5</v>
      </c>
      <c r="V241" s="240"/>
      <c r="W241" s="241"/>
      <c r="X241" s="83"/>
    </row>
    <row r="242" spans="1:24" s="21" customFormat="1" ht="15" customHeight="1">
      <c r="A242" s="75" t="s">
        <v>377</v>
      </c>
      <c r="B242" s="19" t="s">
        <v>22</v>
      </c>
      <c r="C242" s="295"/>
      <c r="D242" s="290"/>
      <c r="E242" s="291"/>
      <c r="F242" s="364"/>
      <c r="G242" s="342"/>
      <c r="H242" s="291"/>
      <c r="I242" s="147"/>
      <c r="J242" s="292"/>
      <c r="K242" s="293"/>
      <c r="L242" s="345"/>
      <c r="M242" s="342"/>
      <c r="N242" s="291"/>
      <c r="O242" s="147"/>
      <c r="P242" s="292"/>
      <c r="Q242" s="293"/>
      <c r="R242" s="345"/>
      <c r="S242" s="342"/>
      <c r="T242" s="291"/>
      <c r="U242" s="147"/>
      <c r="V242" s="292"/>
      <c r="W242" s="293"/>
      <c r="X242" s="114"/>
    </row>
    <row r="243" spans="1:24" s="13" customFormat="1" ht="26.25" customHeight="1">
      <c r="A243" s="75" t="s">
        <v>378</v>
      </c>
      <c r="B243" s="183" t="s">
        <v>21</v>
      </c>
      <c r="C243" s="284"/>
      <c r="D243" s="238">
        <v>221171.07</v>
      </c>
      <c r="E243" s="239">
        <v>234353.07</v>
      </c>
      <c r="F243" s="355">
        <f>E243-D243</f>
        <v>13182</v>
      </c>
      <c r="G243" s="272">
        <v>33079.8</v>
      </c>
      <c r="H243" s="239">
        <v>35800</v>
      </c>
      <c r="I243" s="140">
        <f>H243-G243</f>
        <v>2720.199999999997</v>
      </c>
      <c r="J243" s="240"/>
      <c r="K243" s="241"/>
      <c r="L243" s="338"/>
      <c r="M243" s="272">
        <v>33161.7</v>
      </c>
      <c r="N243" s="239">
        <v>37970</v>
      </c>
      <c r="O243" s="140">
        <f>N243-M243</f>
        <v>4808.300000000003</v>
      </c>
      <c r="P243" s="240"/>
      <c r="Q243" s="241"/>
      <c r="R243" s="338"/>
      <c r="S243" s="272">
        <v>32820</v>
      </c>
      <c r="T243" s="239">
        <v>38473.5</v>
      </c>
      <c r="U243" s="140">
        <f>T243-S243</f>
        <v>5653.5</v>
      </c>
      <c r="V243" s="240"/>
      <c r="W243" s="241"/>
      <c r="X243" s="83"/>
    </row>
    <row r="244" spans="1:24" s="13" customFormat="1" ht="48.75" customHeight="1">
      <c r="A244" s="75" t="s">
        <v>379</v>
      </c>
      <c r="B244" s="45" t="s">
        <v>18</v>
      </c>
      <c r="C244" s="284"/>
      <c r="D244" s="238">
        <v>33023.648</v>
      </c>
      <c r="E244" s="239">
        <v>33023.648</v>
      </c>
      <c r="F244" s="355">
        <v>0</v>
      </c>
      <c r="G244" s="272"/>
      <c r="H244" s="239"/>
      <c r="I244" s="140">
        <v>0</v>
      </c>
      <c r="J244" s="240"/>
      <c r="K244" s="241"/>
      <c r="L244" s="338"/>
      <c r="M244" s="272"/>
      <c r="N244" s="239"/>
      <c r="O244" s="140">
        <v>0</v>
      </c>
      <c r="P244" s="240"/>
      <c r="Q244" s="241"/>
      <c r="R244" s="338"/>
      <c r="S244" s="272"/>
      <c r="T244" s="239"/>
      <c r="U244" s="140">
        <v>0</v>
      </c>
      <c r="V244" s="240"/>
      <c r="W244" s="241"/>
      <c r="X244" s="83"/>
    </row>
    <row r="245" spans="1:24" s="13" customFormat="1" ht="15" customHeight="1">
      <c r="A245" s="72" t="s">
        <v>380</v>
      </c>
      <c r="B245" s="22" t="s">
        <v>10</v>
      </c>
      <c r="C245" s="284"/>
      <c r="D245" s="238">
        <v>9497.4</v>
      </c>
      <c r="E245" s="239">
        <v>9497.4</v>
      </c>
      <c r="F245" s="355">
        <f>E245-D245</f>
        <v>0</v>
      </c>
      <c r="G245" s="272">
        <v>900</v>
      </c>
      <c r="H245" s="239">
        <v>900</v>
      </c>
      <c r="I245" s="140">
        <f>H245-G245</f>
        <v>0</v>
      </c>
      <c r="J245" s="240"/>
      <c r="K245" s="241"/>
      <c r="L245" s="338"/>
      <c r="M245" s="272">
        <v>900</v>
      </c>
      <c r="N245" s="239">
        <v>900</v>
      </c>
      <c r="O245" s="140">
        <f>N245-M245</f>
        <v>0</v>
      </c>
      <c r="P245" s="240"/>
      <c r="Q245" s="241"/>
      <c r="R245" s="338"/>
      <c r="S245" s="272">
        <v>900</v>
      </c>
      <c r="T245" s="239">
        <v>900</v>
      </c>
      <c r="U245" s="140">
        <f>T245-S245</f>
        <v>0</v>
      </c>
      <c r="V245" s="240"/>
      <c r="W245" s="241"/>
      <c r="X245" s="83"/>
    </row>
    <row r="246" spans="1:24" s="13" customFormat="1" ht="15" customHeight="1">
      <c r="A246" s="72"/>
      <c r="B246" s="22"/>
      <c r="C246" s="284"/>
      <c r="D246" s="272"/>
      <c r="E246" s="273"/>
      <c r="F246" s="355"/>
      <c r="G246" s="272"/>
      <c r="H246" s="273"/>
      <c r="I246" s="145"/>
      <c r="J246" s="274"/>
      <c r="K246" s="275"/>
      <c r="L246" s="338"/>
      <c r="M246" s="272"/>
      <c r="N246" s="273"/>
      <c r="O246" s="145"/>
      <c r="P246" s="274"/>
      <c r="Q246" s="275"/>
      <c r="R246" s="338"/>
      <c r="S246" s="272"/>
      <c r="T246" s="273"/>
      <c r="U246" s="145"/>
      <c r="V246" s="274"/>
      <c r="W246" s="275"/>
      <c r="X246" s="118"/>
    </row>
    <row r="247" spans="1:24" s="13" customFormat="1" ht="81.75" customHeight="1">
      <c r="A247" s="75" t="s">
        <v>381</v>
      </c>
      <c r="B247" s="27" t="s">
        <v>137</v>
      </c>
      <c r="C247" s="280" t="s">
        <v>599</v>
      </c>
      <c r="D247" s="264">
        <f aca="true" t="shared" si="95" ref="D247:I247">SUM(D248)</f>
        <v>3124.8</v>
      </c>
      <c r="E247" s="265">
        <f t="shared" si="95"/>
        <v>3124.8</v>
      </c>
      <c r="F247" s="361">
        <f t="shared" si="95"/>
        <v>0</v>
      </c>
      <c r="G247" s="264">
        <f>SUM(G248)</f>
        <v>0</v>
      </c>
      <c r="H247" s="265">
        <f>SUM(H248)</f>
        <v>0</v>
      </c>
      <c r="I247" s="144">
        <f t="shared" si="95"/>
        <v>0</v>
      </c>
      <c r="J247" s="281" t="s">
        <v>601</v>
      </c>
      <c r="K247" s="282" t="s">
        <v>705</v>
      </c>
      <c r="L247" s="344" t="s">
        <v>600</v>
      </c>
      <c r="M247" s="264">
        <f>SUM(M248)</f>
        <v>0</v>
      </c>
      <c r="N247" s="265">
        <f>SUM(N248)</f>
        <v>0</v>
      </c>
      <c r="O247" s="144">
        <f>SUM(O248)</f>
        <v>0</v>
      </c>
      <c r="P247" s="281" t="s">
        <v>601</v>
      </c>
      <c r="Q247" s="282" t="s">
        <v>705</v>
      </c>
      <c r="R247" s="344" t="s">
        <v>600</v>
      </c>
      <c r="S247" s="264">
        <f>SUM(S248)</f>
        <v>0</v>
      </c>
      <c r="T247" s="265">
        <f>SUM(T248)</f>
        <v>0</v>
      </c>
      <c r="U247" s="144">
        <f>SUM(U248)</f>
        <v>0</v>
      </c>
      <c r="V247" s="281" t="s">
        <v>601</v>
      </c>
      <c r="W247" s="282" t="s">
        <v>705</v>
      </c>
      <c r="X247" s="283" t="s">
        <v>600</v>
      </c>
    </row>
    <row r="248" spans="1:24" s="13" customFormat="1" ht="15" customHeight="1">
      <c r="A248" s="72" t="s">
        <v>382</v>
      </c>
      <c r="B248" s="19" t="s">
        <v>9</v>
      </c>
      <c r="C248" s="284"/>
      <c r="D248" s="238">
        <f>SUM(D250)</f>
        <v>3124.8</v>
      </c>
      <c r="E248" s="239">
        <f>SUM(E250)</f>
        <v>3124.8</v>
      </c>
      <c r="F248" s="355">
        <f>E248-D248</f>
        <v>0</v>
      </c>
      <c r="G248" s="272">
        <f>SUM(G250)</f>
        <v>0</v>
      </c>
      <c r="H248" s="239">
        <f>SUM(H250)</f>
        <v>0</v>
      </c>
      <c r="I248" s="140">
        <f>H248-G248</f>
        <v>0</v>
      </c>
      <c r="J248" s="240"/>
      <c r="K248" s="241"/>
      <c r="L248" s="338"/>
      <c r="M248" s="272">
        <f>SUM(M250)</f>
        <v>0</v>
      </c>
      <c r="N248" s="239">
        <f>SUM(N250)</f>
        <v>0</v>
      </c>
      <c r="O248" s="140">
        <f>N248-M248</f>
        <v>0</v>
      </c>
      <c r="P248" s="240"/>
      <c r="Q248" s="241"/>
      <c r="R248" s="338"/>
      <c r="S248" s="272">
        <f>SUM(S250)</f>
        <v>0</v>
      </c>
      <c r="T248" s="239">
        <f>SUM(T250)</f>
        <v>0</v>
      </c>
      <c r="U248" s="140">
        <f>T248-S248</f>
        <v>0</v>
      </c>
      <c r="V248" s="240"/>
      <c r="W248" s="241"/>
      <c r="X248" s="83"/>
    </row>
    <row r="249" spans="1:24" s="21" customFormat="1" ht="15" customHeight="1">
      <c r="A249" s="74"/>
      <c r="B249" s="19" t="s">
        <v>22</v>
      </c>
      <c r="C249" s="295"/>
      <c r="D249" s="290"/>
      <c r="E249" s="291"/>
      <c r="F249" s="364"/>
      <c r="G249" s="342"/>
      <c r="H249" s="291"/>
      <c r="I249" s="147"/>
      <c r="J249" s="292"/>
      <c r="K249" s="293"/>
      <c r="L249" s="345"/>
      <c r="M249" s="342"/>
      <c r="N249" s="291"/>
      <c r="O249" s="147"/>
      <c r="P249" s="292"/>
      <c r="Q249" s="293"/>
      <c r="R249" s="345"/>
      <c r="S249" s="342"/>
      <c r="T249" s="291"/>
      <c r="U249" s="147"/>
      <c r="V249" s="292"/>
      <c r="W249" s="293"/>
      <c r="X249" s="114"/>
    </row>
    <row r="250" spans="1:24" s="13" customFormat="1" ht="48" customHeight="1">
      <c r="A250" s="72" t="s">
        <v>383</v>
      </c>
      <c r="B250" s="45" t="s">
        <v>18</v>
      </c>
      <c r="C250" s="284"/>
      <c r="D250" s="238">
        <v>3124.8</v>
      </c>
      <c r="E250" s="239">
        <v>3124.8</v>
      </c>
      <c r="F250" s="355">
        <f>E250-D250</f>
        <v>0</v>
      </c>
      <c r="G250" s="272"/>
      <c r="H250" s="239"/>
      <c r="I250" s="140">
        <f>H250-G250</f>
        <v>0</v>
      </c>
      <c r="J250" s="240"/>
      <c r="K250" s="241"/>
      <c r="L250" s="338"/>
      <c r="M250" s="272"/>
      <c r="N250" s="239"/>
      <c r="O250" s="140">
        <f>N250-M250</f>
        <v>0</v>
      </c>
      <c r="P250" s="240"/>
      <c r="Q250" s="241"/>
      <c r="R250" s="338"/>
      <c r="S250" s="272"/>
      <c r="T250" s="239"/>
      <c r="U250" s="140">
        <f>T250-S250</f>
        <v>0</v>
      </c>
      <c r="V250" s="240"/>
      <c r="W250" s="241"/>
      <c r="X250" s="83"/>
    </row>
    <row r="251" spans="1:24" s="13" customFormat="1" ht="15.75">
      <c r="A251" s="72"/>
      <c r="B251" s="45"/>
      <c r="C251" s="284"/>
      <c r="D251" s="238"/>
      <c r="E251" s="239"/>
      <c r="F251" s="355"/>
      <c r="G251" s="272"/>
      <c r="H251" s="239"/>
      <c r="I251" s="140"/>
      <c r="J251" s="240"/>
      <c r="K251" s="241"/>
      <c r="L251" s="338"/>
      <c r="M251" s="272"/>
      <c r="N251" s="239"/>
      <c r="O251" s="140"/>
      <c r="P251" s="240"/>
      <c r="Q251" s="241"/>
      <c r="R251" s="338"/>
      <c r="S251" s="272"/>
      <c r="T251" s="239"/>
      <c r="U251" s="140"/>
      <c r="V251" s="240"/>
      <c r="W251" s="241"/>
      <c r="X251" s="83"/>
    </row>
    <row r="252" spans="1:24" s="13" customFormat="1" ht="63.75" customHeight="1">
      <c r="A252" s="72" t="s">
        <v>384</v>
      </c>
      <c r="B252" s="27" t="s">
        <v>138</v>
      </c>
      <c r="C252" s="280" t="s">
        <v>602</v>
      </c>
      <c r="D252" s="285">
        <f aca="true" t="shared" si="96" ref="D252:I252">SUM(D253)</f>
        <v>25528</v>
      </c>
      <c r="E252" s="286">
        <f t="shared" si="96"/>
        <v>25528</v>
      </c>
      <c r="F252" s="361">
        <f t="shared" si="96"/>
        <v>0</v>
      </c>
      <c r="G252" s="264">
        <f>SUM(G253)</f>
        <v>0</v>
      </c>
      <c r="H252" s="286">
        <f>SUM(H253)</f>
        <v>0</v>
      </c>
      <c r="I252" s="143">
        <f t="shared" si="96"/>
        <v>0</v>
      </c>
      <c r="J252" s="281" t="s">
        <v>601</v>
      </c>
      <c r="K252" s="282" t="s">
        <v>705</v>
      </c>
      <c r="L252" s="344" t="s">
        <v>600</v>
      </c>
      <c r="M252" s="264">
        <f>SUM(M253)</f>
        <v>0</v>
      </c>
      <c r="N252" s="286">
        <f>SUM(N253)</f>
        <v>0</v>
      </c>
      <c r="O252" s="143">
        <f>SUM(O253)</f>
        <v>0</v>
      </c>
      <c r="P252" s="281" t="s">
        <v>601</v>
      </c>
      <c r="Q252" s="282" t="s">
        <v>705</v>
      </c>
      <c r="R252" s="344" t="s">
        <v>600</v>
      </c>
      <c r="S252" s="264">
        <f>SUM(S253)</f>
        <v>0</v>
      </c>
      <c r="T252" s="286">
        <f>SUM(T253)</f>
        <v>0</v>
      </c>
      <c r="U252" s="143">
        <f>SUM(U253)</f>
        <v>0</v>
      </c>
      <c r="V252" s="281" t="s">
        <v>601</v>
      </c>
      <c r="W252" s="282" t="s">
        <v>705</v>
      </c>
      <c r="X252" s="283" t="s">
        <v>600</v>
      </c>
    </row>
    <row r="253" spans="1:24" s="13" customFormat="1" ht="16.5" customHeight="1">
      <c r="A253" s="72" t="s">
        <v>385</v>
      </c>
      <c r="B253" s="22" t="s">
        <v>9</v>
      </c>
      <c r="C253" s="284"/>
      <c r="D253" s="238">
        <v>25528</v>
      </c>
      <c r="E253" s="239">
        <v>25528</v>
      </c>
      <c r="F253" s="355">
        <f>E253-D253</f>
        <v>0</v>
      </c>
      <c r="G253" s="272">
        <v>0</v>
      </c>
      <c r="H253" s="239">
        <v>0</v>
      </c>
      <c r="I253" s="140">
        <f>H253-G253</f>
        <v>0</v>
      </c>
      <c r="J253" s="240"/>
      <c r="K253" s="241"/>
      <c r="L253" s="338"/>
      <c r="M253" s="272">
        <v>0</v>
      </c>
      <c r="N253" s="239">
        <v>0</v>
      </c>
      <c r="O253" s="140">
        <f>N253-M253</f>
        <v>0</v>
      </c>
      <c r="P253" s="240"/>
      <c r="Q253" s="241"/>
      <c r="R253" s="338"/>
      <c r="S253" s="272">
        <v>0</v>
      </c>
      <c r="T253" s="239">
        <v>0</v>
      </c>
      <c r="U253" s="140">
        <f>T253-S253</f>
        <v>0</v>
      </c>
      <c r="V253" s="240"/>
      <c r="W253" s="241"/>
      <c r="X253" s="83"/>
    </row>
    <row r="254" spans="1:24" s="13" customFormat="1" ht="16.5" customHeight="1">
      <c r="A254" s="72"/>
      <c r="B254" s="22"/>
      <c r="C254" s="284"/>
      <c r="D254" s="238"/>
      <c r="E254" s="239"/>
      <c r="F254" s="355"/>
      <c r="G254" s="272"/>
      <c r="H254" s="239"/>
      <c r="I254" s="140"/>
      <c r="J254" s="240"/>
      <c r="K254" s="241"/>
      <c r="L254" s="338"/>
      <c r="M254" s="272"/>
      <c r="N254" s="239"/>
      <c r="O254" s="140"/>
      <c r="P254" s="240"/>
      <c r="Q254" s="241"/>
      <c r="R254" s="338"/>
      <c r="S254" s="272"/>
      <c r="T254" s="239"/>
      <c r="U254" s="140"/>
      <c r="V254" s="240"/>
      <c r="W254" s="241"/>
      <c r="X254" s="83"/>
    </row>
    <row r="255" spans="1:24" s="13" customFormat="1" ht="100.5" customHeight="1">
      <c r="A255" s="72" t="s">
        <v>386</v>
      </c>
      <c r="B255" s="27" t="s">
        <v>139</v>
      </c>
      <c r="C255" s="280" t="s">
        <v>603</v>
      </c>
      <c r="D255" s="285">
        <f aca="true" t="shared" si="97" ref="D255:I255">SUM(D256:D258)</f>
        <v>4560.075999999999</v>
      </c>
      <c r="E255" s="286">
        <f t="shared" si="97"/>
        <v>4560.075999999999</v>
      </c>
      <c r="F255" s="361">
        <f t="shared" si="97"/>
        <v>0</v>
      </c>
      <c r="G255" s="264">
        <f>SUM(G256:G258)</f>
        <v>0</v>
      </c>
      <c r="H255" s="286">
        <f>SUM(H256:H258)</f>
        <v>0</v>
      </c>
      <c r="I255" s="143">
        <f t="shared" si="97"/>
        <v>0</v>
      </c>
      <c r="J255" s="281" t="s">
        <v>605</v>
      </c>
      <c r="K255" s="282" t="s">
        <v>605</v>
      </c>
      <c r="L255" s="344" t="s">
        <v>604</v>
      </c>
      <c r="M255" s="264">
        <f>SUM(M256:M258)</f>
        <v>0</v>
      </c>
      <c r="N255" s="286">
        <f>SUM(N256:N258)</f>
        <v>0</v>
      </c>
      <c r="O255" s="143">
        <f>SUM(O256:O258)</f>
        <v>0</v>
      </c>
      <c r="P255" s="281" t="s">
        <v>606</v>
      </c>
      <c r="Q255" s="282" t="s">
        <v>706</v>
      </c>
      <c r="R255" s="344" t="s">
        <v>604</v>
      </c>
      <c r="S255" s="264">
        <f>SUM(S256:S258)</f>
        <v>0</v>
      </c>
      <c r="T255" s="286">
        <f>SUM(T256:T258)</f>
        <v>0</v>
      </c>
      <c r="U255" s="143">
        <f>SUM(U256:U258)</f>
        <v>0</v>
      </c>
      <c r="V255" s="281" t="s">
        <v>707</v>
      </c>
      <c r="W255" s="282" t="s">
        <v>707</v>
      </c>
      <c r="X255" s="283" t="s">
        <v>604</v>
      </c>
    </row>
    <row r="256" spans="1:24" s="13" customFormat="1" ht="15" customHeight="1">
      <c r="A256" s="72" t="s">
        <v>387</v>
      </c>
      <c r="B256" s="22" t="s">
        <v>7</v>
      </c>
      <c r="C256" s="284"/>
      <c r="D256" s="285">
        <f>SUM(D260)</f>
        <v>450</v>
      </c>
      <c r="E256" s="286">
        <f>SUM(E260)</f>
        <v>450</v>
      </c>
      <c r="F256" s="361">
        <f aca="true" t="shared" si="98" ref="F256:H257">SUM(F260)</f>
        <v>0</v>
      </c>
      <c r="G256" s="264">
        <f t="shared" si="98"/>
        <v>0</v>
      </c>
      <c r="H256" s="286">
        <f t="shared" si="98"/>
        <v>0</v>
      </c>
      <c r="I256" s="143">
        <f>SUM(I260)</f>
        <v>0</v>
      </c>
      <c r="J256" s="288"/>
      <c r="K256" s="289"/>
      <c r="L256" s="343"/>
      <c r="M256" s="264">
        <f aca="true" t="shared" si="99" ref="M256:O257">SUM(M260)</f>
        <v>0</v>
      </c>
      <c r="N256" s="286">
        <f t="shared" si="99"/>
        <v>0</v>
      </c>
      <c r="O256" s="143">
        <f t="shared" si="99"/>
        <v>0</v>
      </c>
      <c r="P256" s="288"/>
      <c r="Q256" s="289"/>
      <c r="R256" s="343"/>
      <c r="S256" s="264">
        <f aca="true" t="shared" si="100" ref="S256:U257">SUM(S260)</f>
        <v>0</v>
      </c>
      <c r="T256" s="286">
        <f t="shared" si="100"/>
        <v>0</v>
      </c>
      <c r="U256" s="143">
        <f t="shared" si="100"/>
        <v>0</v>
      </c>
      <c r="V256" s="288"/>
      <c r="W256" s="289"/>
      <c r="X256" s="85"/>
    </row>
    <row r="257" spans="1:24" s="13" customFormat="1" ht="15" customHeight="1">
      <c r="A257" s="72" t="s">
        <v>388</v>
      </c>
      <c r="B257" s="22" t="s">
        <v>9</v>
      </c>
      <c r="C257" s="284"/>
      <c r="D257" s="285">
        <f>SUM(D261)</f>
        <v>1908.9699999999998</v>
      </c>
      <c r="E257" s="286">
        <f>SUM(E261)</f>
        <v>1908.9699999999998</v>
      </c>
      <c r="F257" s="361">
        <f t="shared" si="98"/>
        <v>0</v>
      </c>
      <c r="G257" s="264">
        <f t="shared" si="98"/>
        <v>0</v>
      </c>
      <c r="H257" s="286">
        <f t="shared" si="98"/>
        <v>0</v>
      </c>
      <c r="I257" s="143">
        <f>SUM(I261)</f>
        <v>0</v>
      </c>
      <c r="J257" s="288"/>
      <c r="K257" s="289"/>
      <c r="L257" s="343"/>
      <c r="M257" s="264">
        <f t="shared" si="99"/>
        <v>0</v>
      </c>
      <c r="N257" s="286">
        <f t="shared" si="99"/>
        <v>0</v>
      </c>
      <c r="O257" s="143">
        <f t="shared" si="99"/>
        <v>0</v>
      </c>
      <c r="P257" s="288"/>
      <c r="Q257" s="289"/>
      <c r="R257" s="343"/>
      <c r="S257" s="264">
        <f t="shared" si="100"/>
        <v>0</v>
      </c>
      <c r="T257" s="286">
        <f t="shared" si="100"/>
        <v>0</v>
      </c>
      <c r="U257" s="143">
        <f t="shared" si="100"/>
        <v>0</v>
      </c>
      <c r="V257" s="288"/>
      <c r="W257" s="289"/>
      <c r="X257" s="85"/>
    </row>
    <row r="258" spans="1:24" s="13" customFormat="1" ht="15" customHeight="1">
      <c r="A258" s="72" t="s">
        <v>389</v>
      </c>
      <c r="B258" s="22" t="s">
        <v>8</v>
      </c>
      <c r="C258" s="284"/>
      <c r="D258" s="285">
        <f aca="true" t="shared" si="101" ref="D258:I258">SUM(D262+D264)</f>
        <v>2201.1059999999998</v>
      </c>
      <c r="E258" s="286">
        <f t="shared" si="101"/>
        <v>2201.1059999999998</v>
      </c>
      <c r="F258" s="361">
        <f t="shared" si="101"/>
        <v>0</v>
      </c>
      <c r="G258" s="264">
        <f>SUM(G262+G264)</f>
        <v>0</v>
      </c>
      <c r="H258" s="286">
        <f>SUM(H262+H264)</f>
        <v>0</v>
      </c>
      <c r="I258" s="143">
        <f t="shared" si="101"/>
        <v>0</v>
      </c>
      <c r="J258" s="288"/>
      <c r="K258" s="289"/>
      <c r="L258" s="343"/>
      <c r="M258" s="264">
        <f>SUM(M262+M264)</f>
        <v>0</v>
      </c>
      <c r="N258" s="286">
        <f>SUM(N262+N264)</f>
        <v>0</v>
      </c>
      <c r="O258" s="143">
        <f>SUM(O262+O264)</f>
        <v>0</v>
      </c>
      <c r="P258" s="288"/>
      <c r="Q258" s="289"/>
      <c r="R258" s="343"/>
      <c r="S258" s="264">
        <f>SUM(S262+S264)</f>
        <v>0</v>
      </c>
      <c r="T258" s="286">
        <f>SUM(T262+T264)</f>
        <v>0</v>
      </c>
      <c r="U258" s="143">
        <f>SUM(U262+U264)</f>
        <v>0</v>
      </c>
      <c r="V258" s="288"/>
      <c r="W258" s="289"/>
      <c r="X258" s="85"/>
    </row>
    <row r="259" spans="1:24" s="13" customFormat="1" ht="15" customHeight="1">
      <c r="A259" s="75"/>
      <c r="B259" s="179" t="s">
        <v>86</v>
      </c>
      <c r="C259" s="294"/>
      <c r="D259" s="238"/>
      <c r="E259" s="239"/>
      <c r="F259" s="355"/>
      <c r="G259" s="272"/>
      <c r="H259" s="239"/>
      <c r="I259" s="140"/>
      <c r="J259" s="240"/>
      <c r="K259" s="241"/>
      <c r="L259" s="338"/>
      <c r="M259" s="272"/>
      <c r="N259" s="239"/>
      <c r="O259" s="140"/>
      <c r="P259" s="240"/>
      <c r="Q259" s="241"/>
      <c r="R259" s="338"/>
      <c r="S259" s="272"/>
      <c r="T259" s="239"/>
      <c r="U259" s="140"/>
      <c r="V259" s="240"/>
      <c r="W259" s="241"/>
      <c r="X259" s="83"/>
    </row>
    <row r="260" spans="1:24" s="13" customFormat="1" ht="15" customHeight="1">
      <c r="A260" s="75" t="s">
        <v>390</v>
      </c>
      <c r="B260" s="22" t="s">
        <v>7</v>
      </c>
      <c r="C260" s="284"/>
      <c r="D260" s="238">
        <f>150+300</f>
        <v>450</v>
      </c>
      <c r="E260" s="239">
        <f>150+300</f>
        <v>450</v>
      </c>
      <c r="F260" s="355">
        <f>E260-D260</f>
        <v>0</v>
      </c>
      <c r="G260" s="272"/>
      <c r="H260" s="239"/>
      <c r="I260" s="140">
        <f>H260-G260</f>
        <v>0</v>
      </c>
      <c r="J260" s="240"/>
      <c r="K260" s="241"/>
      <c r="L260" s="338"/>
      <c r="M260" s="272"/>
      <c r="N260" s="239"/>
      <c r="O260" s="140">
        <f>N260-M260</f>
        <v>0</v>
      </c>
      <c r="P260" s="240"/>
      <c r="Q260" s="241"/>
      <c r="R260" s="338"/>
      <c r="S260" s="272"/>
      <c r="T260" s="239"/>
      <c r="U260" s="140">
        <f>T260-S260</f>
        <v>0</v>
      </c>
      <c r="V260" s="240"/>
      <c r="W260" s="241"/>
      <c r="X260" s="83"/>
    </row>
    <row r="261" spans="1:24" s="13" customFormat="1" ht="15" customHeight="1">
      <c r="A261" s="75" t="s">
        <v>391</v>
      </c>
      <c r="B261" s="22" t="s">
        <v>9</v>
      </c>
      <c r="C261" s="284"/>
      <c r="D261" s="238">
        <f>512.82+740.74+655.41</f>
        <v>1908.9699999999998</v>
      </c>
      <c r="E261" s="239">
        <f>512.82+740.74+655.41</f>
        <v>1908.9699999999998</v>
      </c>
      <c r="F261" s="355">
        <f>E261-D261</f>
        <v>0</v>
      </c>
      <c r="G261" s="272"/>
      <c r="H261" s="239"/>
      <c r="I261" s="140">
        <f>H261-G261</f>
        <v>0</v>
      </c>
      <c r="J261" s="240"/>
      <c r="K261" s="241"/>
      <c r="L261" s="338"/>
      <c r="M261" s="272"/>
      <c r="N261" s="239"/>
      <c r="O261" s="140">
        <f>N261-M261</f>
        <v>0</v>
      </c>
      <c r="P261" s="240"/>
      <c r="Q261" s="241"/>
      <c r="R261" s="338"/>
      <c r="S261" s="272"/>
      <c r="T261" s="239"/>
      <c r="U261" s="140">
        <f>T261-S261</f>
        <v>0</v>
      </c>
      <c r="V261" s="240"/>
      <c r="W261" s="241"/>
      <c r="X261" s="83"/>
    </row>
    <row r="262" spans="1:24" s="13" customFormat="1" ht="15" customHeight="1">
      <c r="A262" s="75" t="s">
        <v>392</v>
      </c>
      <c r="B262" s="22" t="s">
        <v>8</v>
      </c>
      <c r="C262" s="284"/>
      <c r="D262" s="238">
        <f>1701.106</f>
        <v>1701.106</v>
      </c>
      <c r="E262" s="239">
        <f>1701.106</f>
        <v>1701.106</v>
      </c>
      <c r="F262" s="355">
        <f>E262-D262</f>
        <v>0</v>
      </c>
      <c r="G262" s="272"/>
      <c r="H262" s="239"/>
      <c r="I262" s="140">
        <f>H262-G262</f>
        <v>0</v>
      </c>
      <c r="J262" s="240"/>
      <c r="K262" s="241"/>
      <c r="L262" s="338"/>
      <c r="M262" s="272"/>
      <c r="N262" s="239"/>
      <c r="O262" s="140">
        <f>N262-M262</f>
        <v>0</v>
      </c>
      <c r="P262" s="240"/>
      <c r="Q262" s="241"/>
      <c r="R262" s="338"/>
      <c r="S262" s="272"/>
      <c r="T262" s="239"/>
      <c r="U262" s="140">
        <f>T262-S262</f>
        <v>0</v>
      </c>
      <c r="V262" s="240"/>
      <c r="W262" s="241"/>
      <c r="X262" s="83"/>
    </row>
    <row r="263" spans="1:24" s="13" customFormat="1" ht="15" customHeight="1">
      <c r="A263" s="75"/>
      <c r="B263" s="179" t="s">
        <v>87</v>
      </c>
      <c r="C263" s="294"/>
      <c r="D263" s="238"/>
      <c r="E263" s="239"/>
      <c r="F263" s="355"/>
      <c r="G263" s="272"/>
      <c r="H263" s="239"/>
      <c r="I263" s="140"/>
      <c r="J263" s="240"/>
      <c r="K263" s="241"/>
      <c r="L263" s="338"/>
      <c r="M263" s="272"/>
      <c r="N263" s="239"/>
      <c r="O263" s="140"/>
      <c r="P263" s="240"/>
      <c r="Q263" s="241"/>
      <c r="R263" s="338"/>
      <c r="S263" s="272"/>
      <c r="T263" s="239"/>
      <c r="U263" s="140"/>
      <c r="V263" s="240"/>
      <c r="W263" s="241"/>
      <c r="X263" s="83"/>
    </row>
    <row r="264" spans="1:24" s="13" customFormat="1" ht="15" customHeight="1">
      <c r="A264" s="75" t="s">
        <v>393</v>
      </c>
      <c r="B264" s="22" t="s">
        <v>8</v>
      </c>
      <c r="C264" s="284"/>
      <c r="D264" s="238">
        <v>500</v>
      </c>
      <c r="E264" s="239">
        <v>500</v>
      </c>
      <c r="F264" s="355">
        <f>E264-D264</f>
        <v>0</v>
      </c>
      <c r="G264" s="272"/>
      <c r="H264" s="239"/>
      <c r="I264" s="140">
        <f>H264-G264</f>
        <v>0</v>
      </c>
      <c r="J264" s="240"/>
      <c r="K264" s="241"/>
      <c r="L264" s="338"/>
      <c r="M264" s="272"/>
      <c r="N264" s="239"/>
      <c r="O264" s="140">
        <f>N264-M264</f>
        <v>0</v>
      </c>
      <c r="P264" s="240"/>
      <c r="Q264" s="241"/>
      <c r="R264" s="338"/>
      <c r="S264" s="272"/>
      <c r="T264" s="239"/>
      <c r="U264" s="140">
        <f>T264-S264</f>
        <v>0</v>
      </c>
      <c r="V264" s="240"/>
      <c r="W264" s="241"/>
      <c r="X264" s="83"/>
    </row>
    <row r="265" spans="1:24" s="13" customFormat="1" ht="15" customHeight="1">
      <c r="A265" s="75"/>
      <c r="B265" s="22"/>
      <c r="C265" s="284"/>
      <c r="D265" s="238"/>
      <c r="E265" s="239"/>
      <c r="F265" s="355"/>
      <c r="G265" s="272"/>
      <c r="H265" s="239"/>
      <c r="I265" s="140"/>
      <c r="J265" s="240"/>
      <c r="K265" s="241"/>
      <c r="L265" s="338"/>
      <c r="M265" s="272"/>
      <c r="N265" s="239"/>
      <c r="O265" s="140"/>
      <c r="P265" s="240"/>
      <c r="Q265" s="241"/>
      <c r="R265" s="338"/>
      <c r="S265" s="272"/>
      <c r="T265" s="239"/>
      <c r="U265" s="140"/>
      <c r="V265" s="240"/>
      <c r="W265" s="241"/>
      <c r="X265" s="83"/>
    </row>
    <row r="266" spans="1:24" s="13" customFormat="1" ht="99.75" customHeight="1">
      <c r="A266" s="72" t="s">
        <v>394</v>
      </c>
      <c r="B266" s="27" t="s">
        <v>177</v>
      </c>
      <c r="C266" s="280" t="s">
        <v>603</v>
      </c>
      <c r="D266" s="285">
        <f aca="true" t="shared" si="102" ref="D266:I266">SUM(D267:D268)</f>
        <v>652.98966</v>
      </c>
      <c r="E266" s="286">
        <f t="shared" si="102"/>
        <v>652.98966</v>
      </c>
      <c r="F266" s="361">
        <f t="shared" si="102"/>
        <v>0</v>
      </c>
      <c r="G266" s="264">
        <f>SUM(G267:G268)</f>
        <v>0</v>
      </c>
      <c r="H266" s="286">
        <f>SUM(H267:H268)</f>
        <v>0</v>
      </c>
      <c r="I266" s="143">
        <f t="shared" si="102"/>
        <v>0</v>
      </c>
      <c r="J266" s="281" t="s">
        <v>605</v>
      </c>
      <c r="K266" s="282" t="s">
        <v>605</v>
      </c>
      <c r="L266" s="344" t="s">
        <v>604</v>
      </c>
      <c r="M266" s="264">
        <f>SUM(M267:M268)</f>
        <v>0</v>
      </c>
      <c r="N266" s="286">
        <f>SUM(N267:N268)</f>
        <v>0</v>
      </c>
      <c r="O266" s="143">
        <f>SUM(O267:O268)</f>
        <v>0</v>
      </c>
      <c r="P266" s="281" t="s">
        <v>606</v>
      </c>
      <c r="Q266" s="282" t="s">
        <v>706</v>
      </c>
      <c r="R266" s="344" t="s">
        <v>604</v>
      </c>
      <c r="S266" s="264">
        <f>SUM(S267:S268)</f>
        <v>0</v>
      </c>
      <c r="T266" s="286">
        <f>SUM(T267:T268)</f>
        <v>0</v>
      </c>
      <c r="U266" s="143">
        <f>SUM(U267:U268)</f>
        <v>0</v>
      </c>
      <c r="V266" s="281" t="s">
        <v>707</v>
      </c>
      <c r="W266" s="282" t="s">
        <v>707</v>
      </c>
      <c r="X266" s="283" t="s">
        <v>604</v>
      </c>
    </row>
    <row r="267" spans="1:24" s="13" customFormat="1" ht="15" customHeight="1">
      <c r="A267" s="72" t="s">
        <v>395</v>
      </c>
      <c r="B267" s="22" t="s">
        <v>7</v>
      </c>
      <c r="C267" s="284"/>
      <c r="D267" s="238">
        <v>652.98966</v>
      </c>
      <c r="E267" s="239">
        <v>652.98966</v>
      </c>
      <c r="F267" s="355">
        <f>E267-D267</f>
        <v>0</v>
      </c>
      <c r="G267" s="272"/>
      <c r="H267" s="239"/>
      <c r="I267" s="140">
        <f>H267-G267</f>
        <v>0</v>
      </c>
      <c r="J267" s="240"/>
      <c r="K267" s="241"/>
      <c r="L267" s="338"/>
      <c r="M267" s="272"/>
      <c r="N267" s="239"/>
      <c r="O267" s="140">
        <f>N267-M267</f>
        <v>0</v>
      </c>
      <c r="P267" s="240"/>
      <c r="Q267" s="241"/>
      <c r="R267" s="338"/>
      <c r="S267" s="272"/>
      <c r="T267" s="239"/>
      <c r="U267" s="140">
        <f>T267-S267</f>
        <v>0</v>
      </c>
      <c r="V267" s="240"/>
      <c r="W267" s="241"/>
      <c r="X267" s="83"/>
    </row>
    <row r="268" spans="1:24" s="13" customFormat="1" ht="15" customHeight="1">
      <c r="A268" s="72" t="s">
        <v>396</v>
      </c>
      <c r="B268" s="22" t="s">
        <v>9</v>
      </c>
      <c r="C268" s="284"/>
      <c r="D268" s="238"/>
      <c r="E268" s="239"/>
      <c r="F268" s="355">
        <f>E268-D268</f>
        <v>0</v>
      </c>
      <c r="G268" s="272"/>
      <c r="H268" s="239"/>
      <c r="I268" s="140">
        <f>H268-G268</f>
        <v>0</v>
      </c>
      <c r="J268" s="240"/>
      <c r="K268" s="241"/>
      <c r="L268" s="338"/>
      <c r="M268" s="272"/>
      <c r="N268" s="239"/>
      <c r="O268" s="140">
        <f>N268-M268</f>
        <v>0</v>
      </c>
      <c r="P268" s="240"/>
      <c r="Q268" s="241"/>
      <c r="R268" s="338"/>
      <c r="S268" s="272"/>
      <c r="T268" s="239"/>
      <c r="U268" s="140">
        <f>T268-S268</f>
        <v>0</v>
      </c>
      <c r="V268" s="240"/>
      <c r="W268" s="241"/>
      <c r="X268" s="83"/>
    </row>
    <row r="269" spans="1:24" s="13" customFormat="1" ht="15" customHeight="1">
      <c r="A269" s="72"/>
      <c r="B269" s="22"/>
      <c r="C269" s="284"/>
      <c r="D269" s="238"/>
      <c r="E269" s="239"/>
      <c r="F269" s="365"/>
      <c r="G269" s="272"/>
      <c r="H269" s="239"/>
      <c r="I269" s="151"/>
      <c r="J269" s="240"/>
      <c r="K269" s="241"/>
      <c r="L269" s="347"/>
      <c r="M269" s="272"/>
      <c r="N269" s="239"/>
      <c r="O269" s="151"/>
      <c r="P269" s="240"/>
      <c r="Q269" s="241"/>
      <c r="R269" s="347"/>
      <c r="S269" s="272"/>
      <c r="T269" s="239"/>
      <c r="U269" s="151"/>
      <c r="V269" s="240"/>
      <c r="W269" s="241"/>
      <c r="X269" s="92"/>
    </row>
    <row r="270" spans="1:24" s="13" customFormat="1" ht="102.75" customHeight="1">
      <c r="A270" s="72" t="s">
        <v>397</v>
      </c>
      <c r="B270" s="27" t="s">
        <v>178</v>
      </c>
      <c r="C270" s="280" t="s">
        <v>603</v>
      </c>
      <c r="D270" s="285">
        <f>SUM(D271:D273)</f>
        <v>21791.553</v>
      </c>
      <c r="E270" s="286">
        <f>SUM(E271:E273)</f>
        <v>32291.553</v>
      </c>
      <c r="F270" s="361">
        <f>E270-D270</f>
        <v>10500</v>
      </c>
      <c r="G270" s="264">
        <f>SUM(G271:G273)</f>
        <v>0</v>
      </c>
      <c r="H270" s="286">
        <f>SUM(H271:H273)</f>
        <v>0</v>
      </c>
      <c r="I270" s="143">
        <f aca="true" t="shared" si="103" ref="I270:I276">H270-G270</f>
        <v>0</v>
      </c>
      <c r="J270" s="281" t="s">
        <v>605</v>
      </c>
      <c r="K270" s="282" t="s">
        <v>605</v>
      </c>
      <c r="L270" s="344" t="s">
        <v>604</v>
      </c>
      <c r="M270" s="264">
        <f>SUM(M271:M273)</f>
        <v>0</v>
      </c>
      <c r="N270" s="286">
        <f>SUM(N271:N273)</f>
        <v>10500</v>
      </c>
      <c r="O270" s="143">
        <f aca="true" t="shared" si="104" ref="O270:O276">N270-M270</f>
        <v>10500</v>
      </c>
      <c r="P270" s="281" t="s">
        <v>606</v>
      </c>
      <c r="Q270" s="282" t="s">
        <v>706</v>
      </c>
      <c r="R270" s="344" t="s">
        <v>604</v>
      </c>
      <c r="S270" s="264">
        <f>SUM(S271:S273)</f>
        <v>0</v>
      </c>
      <c r="T270" s="286">
        <f>SUM(T271:T273)</f>
        <v>0</v>
      </c>
      <c r="U270" s="143">
        <f aca="true" t="shared" si="105" ref="U270:U276">T270-S270</f>
        <v>0</v>
      </c>
      <c r="V270" s="281" t="s">
        <v>707</v>
      </c>
      <c r="W270" s="282" t="s">
        <v>707</v>
      </c>
      <c r="X270" s="283" t="s">
        <v>604</v>
      </c>
    </row>
    <row r="271" spans="1:24" s="13" customFormat="1" ht="30.75" customHeight="1">
      <c r="A271" s="72" t="s">
        <v>398</v>
      </c>
      <c r="B271" s="22" t="s">
        <v>607</v>
      </c>
      <c r="C271" s="284"/>
      <c r="D271" s="238">
        <v>400</v>
      </c>
      <c r="E271" s="239">
        <v>400</v>
      </c>
      <c r="F271" s="355">
        <f aca="true" t="shared" si="106" ref="F271:F276">E271-D271</f>
        <v>0</v>
      </c>
      <c r="G271" s="272"/>
      <c r="H271" s="239"/>
      <c r="I271" s="140">
        <f t="shared" si="103"/>
        <v>0</v>
      </c>
      <c r="J271" s="240"/>
      <c r="K271" s="241"/>
      <c r="L271" s="338"/>
      <c r="M271" s="272"/>
      <c r="N271" s="239">
        <v>10500</v>
      </c>
      <c r="O271" s="140">
        <f t="shared" si="104"/>
        <v>10500</v>
      </c>
      <c r="P271" s="240"/>
      <c r="Q271" s="241"/>
      <c r="R271" s="338"/>
      <c r="S271" s="272"/>
      <c r="T271" s="239"/>
      <c r="U271" s="140">
        <f t="shared" si="105"/>
        <v>0</v>
      </c>
      <c r="V271" s="240"/>
      <c r="W271" s="241"/>
      <c r="X271" s="83"/>
    </row>
    <row r="272" spans="1:24" s="13" customFormat="1" ht="15" customHeight="1">
      <c r="A272" s="72" t="s">
        <v>399</v>
      </c>
      <c r="B272" s="22" t="s">
        <v>7</v>
      </c>
      <c r="C272" s="284"/>
      <c r="D272" s="238">
        <f>7572.653+400-400</f>
        <v>7572.653</v>
      </c>
      <c r="E272" s="239">
        <f>7572.653+400-400+10500</f>
        <v>18072.653</v>
      </c>
      <c r="F272" s="355">
        <f t="shared" si="106"/>
        <v>10499.999999999998</v>
      </c>
      <c r="G272" s="272"/>
      <c r="H272" s="239"/>
      <c r="I272" s="140">
        <f t="shared" si="103"/>
        <v>0</v>
      </c>
      <c r="J272" s="240"/>
      <c r="K272" s="241"/>
      <c r="L272" s="338"/>
      <c r="M272" s="272"/>
      <c r="N272" s="239"/>
      <c r="O272" s="140">
        <f t="shared" si="104"/>
        <v>0</v>
      </c>
      <c r="P272" s="240"/>
      <c r="Q272" s="241"/>
      <c r="R272" s="338"/>
      <c r="S272" s="272"/>
      <c r="T272" s="239"/>
      <c r="U272" s="140">
        <f t="shared" si="105"/>
        <v>0</v>
      </c>
      <c r="V272" s="240"/>
      <c r="W272" s="241"/>
      <c r="X272" s="83"/>
    </row>
    <row r="273" spans="1:24" s="13" customFormat="1" ht="15" customHeight="1">
      <c r="A273" s="72" t="s">
        <v>400</v>
      </c>
      <c r="B273" s="22" t="s">
        <v>9</v>
      </c>
      <c r="C273" s="284"/>
      <c r="D273" s="238">
        <f>13818.9</f>
        <v>13818.9</v>
      </c>
      <c r="E273" s="239">
        <f>13818.9</f>
        <v>13818.9</v>
      </c>
      <c r="F273" s="355">
        <f t="shared" si="106"/>
        <v>0</v>
      </c>
      <c r="G273" s="272"/>
      <c r="H273" s="239"/>
      <c r="I273" s="140">
        <f t="shared" si="103"/>
        <v>0</v>
      </c>
      <c r="J273" s="240"/>
      <c r="K273" s="241"/>
      <c r="L273" s="338"/>
      <c r="M273" s="272"/>
      <c r="N273" s="239"/>
      <c r="O273" s="140">
        <f t="shared" si="104"/>
        <v>0</v>
      </c>
      <c r="P273" s="240"/>
      <c r="Q273" s="241"/>
      <c r="R273" s="338"/>
      <c r="S273" s="272"/>
      <c r="T273" s="239"/>
      <c r="U273" s="140">
        <f t="shared" si="105"/>
        <v>0</v>
      </c>
      <c r="V273" s="240"/>
      <c r="W273" s="241"/>
      <c r="X273" s="83"/>
    </row>
    <row r="274" spans="1:24" s="13" customFormat="1" ht="15" customHeight="1">
      <c r="A274" s="72"/>
      <c r="B274" s="22" t="s">
        <v>19</v>
      </c>
      <c r="C274" s="284"/>
      <c r="D274" s="238"/>
      <c r="E274" s="239"/>
      <c r="F274" s="365"/>
      <c r="G274" s="272"/>
      <c r="H274" s="239"/>
      <c r="I274" s="151"/>
      <c r="J274" s="240"/>
      <c r="K274" s="241"/>
      <c r="L274" s="347"/>
      <c r="M274" s="272"/>
      <c r="N274" s="239"/>
      <c r="O274" s="151"/>
      <c r="P274" s="240"/>
      <c r="Q274" s="241"/>
      <c r="R274" s="347"/>
      <c r="S274" s="272"/>
      <c r="T274" s="239"/>
      <c r="U274" s="151"/>
      <c r="V274" s="240"/>
      <c r="W274" s="241"/>
      <c r="X274" s="92"/>
    </row>
    <row r="275" spans="1:24" s="13" customFormat="1" ht="15" customHeight="1">
      <c r="A275" s="72" t="s">
        <v>401</v>
      </c>
      <c r="B275" s="22" t="s">
        <v>28</v>
      </c>
      <c r="C275" s="284"/>
      <c r="D275" s="238">
        <f>SUM(D271:D273)</f>
        <v>21791.553</v>
      </c>
      <c r="E275" s="239">
        <v>21791.553</v>
      </c>
      <c r="F275" s="365">
        <f t="shared" si="106"/>
        <v>0</v>
      </c>
      <c r="G275" s="272">
        <v>0</v>
      </c>
      <c r="H275" s="239">
        <v>0</v>
      </c>
      <c r="I275" s="151">
        <f t="shared" si="103"/>
        <v>0</v>
      </c>
      <c r="J275" s="240"/>
      <c r="K275" s="241"/>
      <c r="L275" s="347"/>
      <c r="M275" s="272">
        <v>0</v>
      </c>
      <c r="N275" s="239">
        <v>0</v>
      </c>
      <c r="O275" s="151">
        <f t="shared" si="104"/>
        <v>0</v>
      </c>
      <c r="P275" s="240"/>
      <c r="Q275" s="241"/>
      <c r="R275" s="347"/>
      <c r="S275" s="272">
        <v>0</v>
      </c>
      <c r="T275" s="239">
        <v>0</v>
      </c>
      <c r="U275" s="151">
        <f t="shared" si="105"/>
        <v>0</v>
      </c>
      <c r="V275" s="240"/>
      <c r="W275" s="241"/>
      <c r="X275" s="92"/>
    </row>
    <row r="276" spans="1:24" s="13" customFormat="1" ht="15" customHeight="1">
      <c r="A276" s="72" t="s">
        <v>402</v>
      </c>
      <c r="B276" s="22" t="s">
        <v>31</v>
      </c>
      <c r="C276" s="284"/>
      <c r="D276" s="238"/>
      <c r="E276" s="239">
        <v>10500</v>
      </c>
      <c r="F276" s="365">
        <f t="shared" si="106"/>
        <v>10500</v>
      </c>
      <c r="G276" s="272">
        <v>0</v>
      </c>
      <c r="H276" s="239">
        <v>0</v>
      </c>
      <c r="I276" s="151">
        <f t="shared" si="103"/>
        <v>0</v>
      </c>
      <c r="J276" s="240"/>
      <c r="K276" s="241"/>
      <c r="L276" s="347"/>
      <c r="M276" s="272">
        <v>0</v>
      </c>
      <c r="N276" s="239">
        <v>10500</v>
      </c>
      <c r="O276" s="151">
        <f t="shared" si="104"/>
        <v>10500</v>
      </c>
      <c r="P276" s="240"/>
      <c r="Q276" s="241"/>
      <c r="R276" s="347"/>
      <c r="S276" s="272">
        <v>0</v>
      </c>
      <c r="T276" s="239">
        <v>0</v>
      </c>
      <c r="U276" s="151">
        <f t="shared" si="105"/>
        <v>0</v>
      </c>
      <c r="V276" s="240"/>
      <c r="W276" s="241"/>
      <c r="X276" s="92"/>
    </row>
    <row r="277" spans="1:24" s="7" customFormat="1" ht="15" customHeight="1">
      <c r="A277" s="76"/>
      <c r="B277" s="22"/>
      <c r="C277" s="284"/>
      <c r="D277" s="238"/>
      <c r="E277" s="239"/>
      <c r="F277" s="365"/>
      <c r="G277" s="272"/>
      <c r="H277" s="239"/>
      <c r="I277" s="151"/>
      <c r="J277" s="240"/>
      <c r="K277" s="241"/>
      <c r="L277" s="347"/>
      <c r="M277" s="272"/>
      <c r="N277" s="239"/>
      <c r="O277" s="151"/>
      <c r="P277" s="240"/>
      <c r="Q277" s="241"/>
      <c r="R277" s="347"/>
      <c r="S277" s="272"/>
      <c r="T277" s="239"/>
      <c r="U277" s="151"/>
      <c r="V277" s="240"/>
      <c r="W277" s="241"/>
      <c r="X277" s="92"/>
    </row>
    <row r="278" spans="1:24" s="13" customFormat="1" ht="81.75" customHeight="1">
      <c r="A278" s="72" t="s">
        <v>403</v>
      </c>
      <c r="B278" s="27" t="s">
        <v>179</v>
      </c>
      <c r="C278" s="280" t="s">
        <v>608</v>
      </c>
      <c r="D278" s="285">
        <f aca="true" t="shared" si="107" ref="D278:I278">SUM(D279:D281)</f>
        <v>4709</v>
      </c>
      <c r="E278" s="286">
        <f t="shared" si="107"/>
        <v>4709</v>
      </c>
      <c r="F278" s="361">
        <f t="shared" si="107"/>
        <v>0</v>
      </c>
      <c r="G278" s="264">
        <f>SUM(G279:G281)</f>
        <v>0</v>
      </c>
      <c r="H278" s="286">
        <f>SUM(H279:H281)</f>
        <v>0</v>
      </c>
      <c r="I278" s="143">
        <f t="shared" si="107"/>
        <v>0</v>
      </c>
      <c r="J278" s="281" t="s">
        <v>708</v>
      </c>
      <c r="K278" s="282" t="s">
        <v>708</v>
      </c>
      <c r="L278" s="344" t="s">
        <v>609</v>
      </c>
      <c r="M278" s="264">
        <f>SUM(M279:M281)</f>
        <v>0</v>
      </c>
      <c r="N278" s="286">
        <f>SUM(N279:N281)</f>
        <v>0</v>
      </c>
      <c r="O278" s="143">
        <f>SUM(O279:O281)</f>
        <v>0</v>
      </c>
      <c r="P278" s="281" t="s">
        <v>611</v>
      </c>
      <c r="Q278" s="282" t="s">
        <v>611</v>
      </c>
      <c r="R278" s="344" t="s">
        <v>610</v>
      </c>
      <c r="S278" s="264">
        <f>SUM(S279:S281)</f>
        <v>0</v>
      </c>
      <c r="T278" s="286">
        <f>SUM(T279:T281)</f>
        <v>0</v>
      </c>
      <c r="U278" s="143">
        <f>SUM(U279:U281)</f>
        <v>0</v>
      </c>
      <c r="V278" s="281" t="s">
        <v>709</v>
      </c>
      <c r="W278" s="282" t="s">
        <v>709</v>
      </c>
      <c r="X278" s="283" t="s">
        <v>610</v>
      </c>
    </row>
    <row r="279" spans="1:24" s="13" customFormat="1" ht="15" customHeight="1">
      <c r="A279" s="72" t="s">
        <v>404</v>
      </c>
      <c r="B279" s="22" t="s">
        <v>213</v>
      </c>
      <c r="C279" s="284"/>
      <c r="D279" s="238">
        <v>34</v>
      </c>
      <c r="E279" s="239">
        <v>34</v>
      </c>
      <c r="F279" s="355">
        <f>E279-D279</f>
        <v>0</v>
      </c>
      <c r="G279" s="272"/>
      <c r="H279" s="239"/>
      <c r="I279" s="140">
        <f>H279-G279</f>
        <v>0</v>
      </c>
      <c r="J279" s="240"/>
      <c r="K279" s="241"/>
      <c r="L279" s="338"/>
      <c r="M279" s="272"/>
      <c r="N279" s="239"/>
      <c r="O279" s="140">
        <f>N279-M279</f>
        <v>0</v>
      </c>
      <c r="P279" s="240"/>
      <c r="Q279" s="241"/>
      <c r="R279" s="338"/>
      <c r="S279" s="272"/>
      <c r="T279" s="239"/>
      <c r="U279" s="140">
        <f>T279-S279</f>
        <v>0</v>
      </c>
      <c r="V279" s="240"/>
      <c r="W279" s="241"/>
      <c r="X279" s="83"/>
    </row>
    <row r="280" spans="1:24" s="13" customFormat="1" ht="15" customHeight="1">
      <c r="A280" s="72" t="s">
        <v>405</v>
      </c>
      <c r="B280" s="22" t="s">
        <v>7</v>
      </c>
      <c r="C280" s="284"/>
      <c r="D280" s="238">
        <v>3175</v>
      </c>
      <c r="E280" s="239">
        <v>3175</v>
      </c>
      <c r="F280" s="355">
        <f>E280-D280</f>
        <v>0</v>
      </c>
      <c r="G280" s="272"/>
      <c r="H280" s="239"/>
      <c r="I280" s="140">
        <f>H280-G280</f>
        <v>0</v>
      </c>
      <c r="J280" s="240"/>
      <c r="K280" s="241"/>
      <c r="L280" s="338"/>
      <c r="M280" s="272"/>
      <c r="N280" s="239"/>
      <c r="O280" s="140">
        <f>N280-M280</f>
        <v>0</v>
      </c>
      <c r="P280" s="240"/>
      <c r="Q280" s="241"/>
      <c r="R280" s="338"/>
      <c r="S280" s="272"/>
      <c r="T280" s="239"/>
      <c r="U280" s="140">
        <f>T280-S280</f>
        <v>0</v>
      </c>
      <c r="V280" s="240"/>
      <c r="W280" s="241"/>
      <c r="X280" s="83"/>
    </row>
    <row r="281" spans="1:24" s="13" customFormat="1" ht="15" customHeight="1">
      <c r="A281" s="72" t="s">
        <v>406</v>
      </c>
      <c r="B281" s="22" t="s">
        <v>9</v>
      </c>
      <c r="C281" s="284"/>
      <c r="D281" s="238">
        <v>1500</v>
      </c>
      <c r="E281" s="239">
        <v>1500</v>
      </c>
      <c r="F281" s="355">
        <f>E281-D281</f>
        <v>0</v>
      </c>
      <c r="G281" s="272"/>
      <c r="H281" s="239"/>
      <c r="I281" s="140">
        <f>H281-G281</f>
        <v>0</v>
      </c>
      <c r="J281" s="240"/>
      <c r="K281" s="241"/>
      <c r="L281" s="338"/>
      <c r="M281" s="272"/>
      <c r="N281" s="239"/>
      <c r="O281" s="140">
        <f>N281-M281</f>
        <v>0</v>
      </c>
      <c r="P281" s="240"/>
      <c r="Q281" s="241"/>
      <c r="R281" s="338"/>
      <c r="S281" s="272"/>
      <c r="T281" s="239"/>
      <c r="U281" s="140">
        <f>T281-S281</f>
        <v>0</v>
      </c>
      <c r="V281" s="240"/>
      <c r="W281" s="241"/>
      <c r="X281" s="83"/>
    </row>
    <row r="282" spans="1:24" s="13" customFormat="1" ht="15" customHeight="1">
      <c r="A282" s="72"/>
      <c r="B282" s="22" t="s">
        <v>19</v>
      </c>
      <c r="C282" s="284"/>
      <c r="D282" s="238"/>
      <c r="E282" s="239"/>
      <c r="F282" s="365"/>
      <c r="G282" s="272"/>
      <c r="H282" s="239"/>
      <c r="I282" s="151"/>
      <c r="J282" s="240"/>
      <c r="K282" s="241"/>
      <c r="L282" s="347"/>
      <c r="M282" s="272"/>
      <c r="N282" s="239"/>
      <c r="O282" s="151"/>
      <c r="P282" s="240"/>
      <c r="Q282" s="241"/>
      <c r="R282" s="347"/>
      <c r="S282" s="272"/>
      <c r="T282" s="239"/>
      <c r="U282" s="151"/>
      <c r="V282" s="240"/>
      <c r="W282" s="241"/>
      <c r="X282" s="92"/>
    </row>
    <row r="283" spans="1:24" s="13" customFormat="1" ht="15" customHeight="1">
      <c r="A283" s="72" t="s">
        <v>407</v>
      </c>
      <c r="B283" s="22" t="s">
        <v>65</v>
      </c>
      <c r="C283" s="284"/>
      <c r="D283" s="238">
        <v>3334</v>
      </c>
      <c r="E283" s="239">
        <v>3334</v>
      </c>
      <c r="F283" s="355">
        <f>E283-D283</f>
        <v>0</v>
      </c>
      <c r="G283" s="272"/>
      <c r="H283" s="239"/>
      <c r="I283" s="140">
        <f>H283-G283</f>
        <v>0</v>
      </c>
      <c r="J283" s="240"/>
      <c r="K283" s="241"/>
      <c r="L283" s="347"/>
      <c r="M283" s="272"/>
      <c r="N283" s="239"/>
      <c r="O283" s="140">
        <f>N283-M283</f>
        <v>0</v>
      </c>
      <c r="P283" s="240"/>
      <c r="Q283" s="241"/>
      <c r="R283" s="347"/>
      <c r="S283" s="272"/>
      <c r="T283" s="239"/>
      <c r="U283" s="140">
        <f>T283-S283</f>
        <v>0</v>
      </c>
      <c r="V283" s="240"/>
      <c r="W283" s="241"/>
      <c r="X283" s="92"/>
    </row>
    <row r="284" spans="1:24" s="13" customFormat="1" ht="15" customHeight="1">
      <c r="A284" s="72" t="s">
        <v>408</v>
      </c>
      <c r="B284" s="22" t="s">
        <v>64</v>
      </c>
      <c r="C284" s="284"/>
      <c r="D284" s="238">
        <v>1375</v>
      </c>
      <c r="E284" s="239">
        <v>1375</v>
      </c>
      <c r="F284" s="355">
        <f>E284-D284</f>
        <v>0</v>
      </c>
      <c r="G284" s="272">
        <f>SUM(G280:G281)</f>
        <v>0</v>
      </c>
      <c r="H284" s="239">
        <f>SUM(H280:H281)</f>
        <v>0</v>
      </c>
      <c r="I284" s="140">
        <f>H284-G284</f>
        <v>0</v>
      </c>
      <c r="J284" s="240"/>
      <c r="K284" s="241"/>
      <c r="L284" s="347"/>
      <c r="M284" s="272">
        <f>SUM(M280:M281)</f>
        <v>0</v>
      </c>
      <c r="N284" s="239">
        <f>SUM(N280:N281)</f>
        <v>0</v>
      </c>
      <c r="O284" s="140">
        <f>N284-M284</f>
        <v>0</v>
      </c>
      <c r="P284" s="240"/>
      <c r="Q284" s="241"/>
      <c r="R284" s="347"/>
      <c r="S284" s="272">
        <f>SUM(S280:S281)</f>
        <v>0</v>
      </c>
      <c r="T284" s="239">
        <f>SUM(T280:T281)</f>
        <v>0</v>
      </c>
      <c r="U284" s="140">
        <f>T284-S284</f>
        <v>0</v>
      </c>
      <c r="V284" s="240"/>
      <c r="W284" s="241"/>
      <c r="X284" s="92"/>
    </row>
    <row r="285" spans="1:24" s="13" customFormat="1" ht="15" customHeight="1">
      <c r="A285" s="72"/>
      <c r="B285" s="22"/>
      <c r="C285" s="284"/>
      <c r="D285" s="238"/>
      <c r="E285" s="239"/>
      <c r="F285" s="365"/>
      <c r="G285" s="272"/>
      <c r="H285" s="239"/>
      <c r="I285" s="151"/>
      <c r="J285" s="240"/>
      <c r="K285" s="241"/>
      <c r="L285" s="347"/>
      <c r="M285" s="272"/>
      <c r="N285" s="239"/>
      <c r="O285" s="151"/>
      <c r="P285" s="240"/>
      <c r="Q285" s="241"/>
      <c r="R285" s="347"/>
      <c r="S285" s="272"/>
      <c r="T285" s="239"/>
      <c r="U285" s="151"/>
      <c r="V285" s="240"/>
      <c r="W285" s="241"/>
      <c r="X285" s="92"/>
    </row>
    <row r="286" spans="1:24" s="13" customFormat="1" ht="112.5" customHeight="1">
      <c r="A286" s="72" t="s">
        <v>409</v>
      </c>
      <c r="B286" s="27" t="s">
        <v>185</v>
      </c>
      <c r="C286" s="280" t="s">
        <v>612</v>
      </c>
      <c r="D286" s="285">
        <f>SUM(D287:D289)</f>
        <v>3996.2999999999997</v>
      </c>
      <c r="E286" s="286">
        <f>SUM(E287:E289)</f>
        <v>3996.2999999999997</v>
      </c>
      <c r="F286" s="361">
        <f>E286-D286</f>
        <v>0</v>
      </c>
      <c r="G286" s="264">
        <f>SUM(G287:G289)</f>
        <v>0</v>
      </c>
      <c r="H286" s="286">
        <f>SUM(H287:H289)</f>
        <v>0</v>
      </c>
      <c r="I286" s="143">
        <f>H286-G286</f>
        <v>0</v>
      </c>
      <c r="J286" s="281" t="s">
        <v>613</v>
      </c>
      <c r="K286" s="282" t="s">
        <v>613</v>
      </c>
      <c r="L286" s="344" t="s">
        <v>614</v>
      </c>
      <c r="M286" s="264">
        <f>SUM(M287:M289)</f>
        <v>0</v>
      </c>
      <c r="N286" s="286">
        <f>SUM(N287:N289)</f>
        <v>0</v>
      </c>
      <c r="O286" s="143">
        <f>N286-M286</f>
        <v>0</v>
      </c>
      <c r="P286" s="281" t="s">
        <v>613</v>
      </c>
      <c r="Q286" s="282" t="s">
        <v>613</v>
      </c>
      <c r="R286" s="344" t="s">
        <v>614</v>
      </c>
      <c r="S286" s="264">
        <f>SUM(S287:S289)</f>
        <v>0</v>
      </c>
      <c r="T286" s="286">
        <f>SUM(T287:T289)</f>
        <v>0</v>
      </c>
      <c r="U286" s="143">
        <f>T286-S286</f>
        <v>0</v>
      </c>
      <c r="V286" s="281" t="s">
        <v>615</v>
      </c>
      <c r="W286" s="282" t="s">
        <v>615</v>
      </c>
      <c r="X286" s="283" t="s">
        <v>710</v>
      </c>
    </row>
    <row r="287" spans="1:24" s="13" customFormat="1" ht="15" customHeight="1">
      <c r="A287" s="72" t="s">
        <v>410</v>
      </c>
      <c r="B287" s="22" t="s">
        <v>7</v>
      </c>
      <c r="C287" s="284"/>
      <c r="D287" s="238">
        <v>84.6</v>
      </c>
      <c r="E287" s="239">
        <v>84.6</v>
      </c>
      <c r="F287" s="355">
        <f>E287-D287</f>
        <v>0</v>
      </c>
      <c r="G287" s="272"/>
      <c r="H287" s="239"/>
      <c r="I287" s="140">
        <f>H287-G287</f>
        <v>0</v>
      </c>
      <c r="J287" s="240"/>
      <c r="K287" s="241"/>
      <c r="L287" s="338"/>
      <c r="M287" s="272"/>
      <c r="N287" s="239"/>
      <c r="O287" s="140">
        <f>N287-M287</f>
        <v>0</v>
      </c>
      <c r="P287" s="240"/>
      <c r="Q287" s="241"/>
      <c r="R287" s="338"/>
      <c r="S287" s="272"/>
      <c r="T287" s="239"/>
      <c r="U287" s="140">
        <f>T287-S287</f>
        <v>0</v>
      </c>
      <c r="V287" s="240"/>
      <c r="W287" s="241"/>
      <c r="X287" s="83"/>
    </row>
    <row r="288" spans="1:24" s="13" customFormat="1" ht="15" customHeight="1">
      <c r="A288" s="72" t="s">
        <v>411</v>
      </c>
      <c r="B288" s="22" t="s">
        <v>9</v>
      </c>
      <c r="C288" s="284"/>
      <c r="D288" s="238"/>
      <c r="E288" s="239"/>
      <c r="F288" s="355"/>
      <c r="G288" s="272"/>
      <c r="H288" s="239"/>
      <c r="I288" s="140"/>
      <c r="J288" s="240"/>
      <c r="K288" s="241"/>
      <c r="L288" s="338"/>
      <c r="M288" s="272"/>
      <c r="N288" s="239"/>
      <c r="O288" s="140"/>
      <c r="P288" s="240"/>
      <c r="Q288" s="241"/>
      <c r="R288" s="338"/>
      <c r="S288" s="272"/>
      <c r="T288" s="239"/>
      <c r="U288" s="140"/>
      <c r="V288" s="240"/>
      <c r="W288" s="241"/>
      <c r="X288" s="83"/>
    </row>
    <row r="289" spans="1:24" s="13" customFormat="1" ht="15" customHeight="1">
      <c r="A289" s="72" t="s">
        <v>412</v>
      </c>
      <c r="B289" s="22" t="s">
        <v>8</v>
      </c>
      <c r="C289" s="284"/>
      <c r="D289" s="238">
        <v>3911.7</v>
      </c>
      <c r="E289" s="239">
        <v>3911.7</v>
      </c>
      <c r="F289" s="355">
        <f>E289-D289</f>
        <v>0</v>
      </c>
      <c r="G289" s="272"/>
      <c r="H289" s="239"/>
      <c r="I289" s="140">
        <f>H289-G289</f>
        <v>0</v>
      </c>
      <c r="J289" s="240"/>
      <c r="K289" s="241"/>
      <c r="L289" s="338"/>
      <c r="M289" s="272"/>
      <c r="N289" s="239"/>
      <c r="O289" s="140">
        <f>N289-M289</f>
        <v>0</v>
      </c>
      <c r="P289" s="240"/>
      <c r="Q289" s="241"/>
      <c r="R289" s="338"/>
      <c r="S289" s="272"/>
      <c r="T289" s="239"/>
      <c r="U289" s="140">
        <f>T289-S289</f>
        <v>0</v>
      </c>
      <c r="V289" s="240"/>
      <c r="W289" s="241"/>
      <c r="X289" s="83"/>
    </row>
    <row r="290" spans="1:24" s="13" customFormat="1" ht="15" customHeight="1">
      <c r="A290" s="72"/>
      <c r="B290" s="22" t="s">
        <v>19</v>
      </c>
      <c r="C290" s="284"/>
      <c r="D290" s="238"/>
      <c r="E290" s="239"/>
      <c r="F290" s="365"/>
      <c r="G290" s="272"/>
      <c r="H290" s="239"/>
      <c r="I290" s="151"/>
      <c r="J290" s="240"/>
      <c r="K290" s="241"/>
      <c r="L290" s="347"/>
      <c r="M290" s="272"/>
      <c r="N290" s="239"/>
      <c r="O290" s="151"/>
      <c r="P290" s="240"/>
      <c r="Q290" s="241"/>
      <c r="R290" s="347"/>
      <c r="S290" s="272"/>
      <c r="T290" s="239"/>
      <c r="U290" s="151"/>
      <c r="V290" s="240"/>
      <c r="W290" s="241"/>
      <c r="X290" s="92"/>
    </row>
    <row r="291" spans="1:24" s="13" customFormat="1" ht="15" customHeight="1">
      <c r="A291" s="72" t="s">
        <v>413</v>
      </c>
      <c r="B291" s="22" t="s">
        <v>64</v>
      </c>
      <c r="C291" s="284"/>
      <c r="D291" s="238">
        <f>SUM(D287:D289)</f>
        <v>3996.2999999999997</v>
      </c>
      <c r="E291" s="239">
        <f>SUM(E287:E289)</f>
        <v>3996.2999999999997</v>
      </c>
      <c r="F291" s="365">
        <f>E291-D291</f>
        <v>0</v>
      </c>
      <c r="G291" s="272">
        <f>SUM(G287:G289)</f>
        <v>0</v>
      </c>
      <c r="H291" s="239">
        <f>SUM(H287:H289)</f>
        <v>0</v>
      </c>
      <c r="I291" s="151">
        <f>H291-G291</f>
        <v>0</v>
      </c>
      <c r="J291" s="240"/>
      <c r="K291" s="241"/>
      <c r="L291" s="347"/>
      <c r="M291" s="272">
        <f>SUM(M287:M289)</f>
        <v>0</v>
      </c>
      <c r="N291" s="239">
        <f>SUM(N287:N289)</f>
        <v>0</v>
      </c>
      <c r="O291" s="151">
        <f>N291-M291</f>
        <v>0</v>
      </c>
      <c r="P291" s="240"/>
      <c r="Q291" s="241"/>
      <c r="R291" s="347"/>
      <c r="S291" s="272">
        <f>SUM(S287:S289)</f>
        <v>0</v>
      </c>
      <c r="T291" s="239">
        <f>SUM(T287:T289)</f>
        <v>0</v>
      </c>
      <c r="U291" s="151">
        <f>T291-S291</f>
        <v>0</v>
      </c>
      <c r="V291" s="240"/>
      <c r="W291" s="241"/>
      <c r="X291" s="92"/>
    </row>
    <row r="292" spans="1:24" s="7" customFormat="1" ht="15" customHeight="1">
      <c r="A292" s="76" t="s">
        <v>414</v>
      </c>
      <c r="B292" s="22" t="s">
        <v>507</v>
      </c>
      <c r="C292" s="294"/>
      <c r="D292" s="238">
        <v>0</v>
      </c>
      <c r="E292" s="239">
        <v>0</v>
      </c>
      <c r="F292" s="365">
        <f>E292-D292</f>
        <v>0</v>
      </c>
      <c r="G292" s="272">
        <v>0</v>
      </c>
      <c r="H292" s="239">
        <v>0</v>
      </c>
      <c r="I292" s="151">
        <f>H292-G292</f>
        <v>0</v>
      </c>
      <c r="J292" s="240"/>
      <c r="K292" s="241"/>
      <c r="L292" s="347"/>
      <c r="M292" s="272"/>
      <c r="N292" s="239"/>
      <c r="O292" s="151">
        <f>N292-M292</f>
        <v>0</v>
      </c>
      <c r="P292" s="240"/>
      <c r="Q292" s="241"/>
      <c r="R292" s="347"/>
      <c r="S292" s="272"/>
      <c r="T292" s="239"/>
      <c r="U292" s="151">
        <f>T292-S292</f>
        <v>0</v>
      </c>
      <c r="V292" s="240"/>
      <c r="W292" s="241"/>
      <c r="X292" s="92"/>
    </row>
    <row r="293" spans="1:24" s="6" customFormat="1" ht="15" customHeight="1">
      <c r="A293" s="125"/>
      <c r="B293" s="255"/>
      <c r="C293" s="301"/>
      <c r="D293" s="380" t="s">
        <v>1</v>
      </c>
      <c r="E293" s="381"/>
      <c r="F293" s="381"/>
      <c r="G293" s="381"/>
      <c r="H293" s="381"/>
      <c r="I293" s="381"/>
      <c r="J293" s="381"/>
      <c r="K293" s="381"/>
      <c r="L293" s="382"/>
      <c r="M293" s="380" t="s">
        <v>1</v>
      </c>
      <c r="N293" s="381"/>
      <c r="O293" s="381"/>
      <c r="P293" s="381"/>
      <c r="Q293" s="381"/>
      <c r="R293" s="381"/>
      <c r="S293" s="381"/>
      <c r="T293" s="381"/>
      <c r="U293" s="381"/>
      <c r="V293" s="381"/>
      <c r="W293" s="381"/>
      <c r="X293" s="381"/>
    </row>
    <row r="294" spans="1:24" s="13" customFormat="1" ht="15.75">
      <c r="A294" s="72" t="s">
        <v>415</v>
      </c>
      <c r="B294" s="27" t="s">
        <v>36</v>
      </c>
      <c r="C294" s="284"/>
      <c r="D294" s="285">
        <f aca="true" t="shared" si="108" ref="D294:I294">SUM(D295:D296)</f>
        <v>94369.284</v>
      </c>
      <c r="E294" s="286">
        <f t="shared" si="108"/>
        <v>99669.284</v>
      </c>
      <c r="F294" s="361">
        <f t="shared" si="108"/>
        <v>5300</v>
      </c>
      <c r="G294" s="285">
        <f t="shared" si="108"/>
        <v>15300</v>
      </c>
      <c r="H294" s="286">
        <f t="shared" si="108"/>
        <v>46500</v>
      </c>
      <c r="I294" s="143">
        <f t="shared" si="108"/>
        <v>31200</v>
      </c>
      <c r="J294" s="266"/>
      <c r="K294" s="289"/>
      <c r="L294" s="343"/>
      <c r="M294" s="264">
        <f>SUM(M295:M296)</f>
        <v>15200</v>
      </c>
      <c r="N294" s="286">
        <f>SUM(N295:N296)</f>
        <v>0</v>
      </c>
      <c r="O294" s="143">
        <f>SUM(O295:O296)</f>
        <v>-15200</v>
      </c>
      <c r="P294" s="288"/>
      <c r="Q294" s="289"/>
      <c r="R294" s="343"/>
      <c r="S294" s="264">
        <f>SUM(S295:S296)</f>
        <v>32700</v>
      </c>
      <c r="T294" s="286">
        <f>SUM(T295:T296)</f>
        <v>0</v>
      </c>
      <c r="U294" s="143">
        <f>SUM(U295:U296)</f>
        <v>-32700</v>
      </c>
      <c r="V294" s="288"/>
      <c r="W294" s="289"/>
      <c r="X294" s="85"/>
    </row>
    <row r="295" spans="1:24" s="13" customFormat="1" ht="15" customHeight="1">
      <c r="A295" s="72" t="s">
        <v>416</v>
      </c>
      <c r="B295" s="22" t="s">
        <v>7</v>
      </c>
      <c r="C295" s="284"/>
      <c r="D295" s="238">
        <f aca="true" t="shared" si="109" ref="D295:I295">SUM(D300+D314)</f>
        <v>94369.284</v>
      </c>
      <c r="E295" s="239">
        <f t="shared" si="109"/>
        <v>99669.284</v>
      </c>
      <c r="F295" s="355">
        <f t="shared" si="109"/>
        <v>5300</v>
      </c>
      <c r="G295" s="238">
        <f t="shared" si="109"/>
        <v>15300</v>
      </c>
      <c r="H295" s="239">
        <f t="shared" si="109"/>
        <v>46500</v>
      </c>
      <c r="I295" s="140">
        <f t="shared" si="109"/>
        <v>31200</v>
      </c>
      <c r="J295" s="274"/>
      <c r="K295" s="241"/>
      <c r="L295" s="338"/>
      <c r="M295" s="272">
        <f>SUM(M300+M314)</f>
        <v>15200</v>
      </c>
      <c r="N295" s="239">
        <f>SUM(N300+N314)</f>
        <v>0</v>
      </c>
      <c r="O295" s="140">
        <f>SUM(O300+O314)</f>
        <v>-15200</v>
      </c>
      <c r="P295" s="240"/>
      <c r="Q295" s="241"/>
      <c r="R295" s="338"/>
      <c r="S295" s="272">
        <f>SUM(S300+S314)</f>
        <v>32700</v>
      </c>
      <c r="T295" s="239">
        <f>SUM(T300+T314)</f>
        <v>0</v>
      </c>
      <c r="U295" s="140">
        <f>SUM(U300+U314)</f>
        <v>-32700</v>
      </c>
      <c r="V295" s="240"/>
      <c r="W295" s="241"/>
      <c r="X295" s="83"/>
    </row>
    <row r="296" spans="1:24" s="13" customFormat="1" ht="15" customHeight="1">
      <c r="A296" s="72" t="s">
        <v>417</v>
      </c>
      <c r="B296" s="22" t="s">
        <v>9</v>
      </c>
      <c r="C296" s="284"/>
      <c r="D296" s="238">
        <f aca="true" t="shared" si="110" ref="D296:I296">SUM(D301)</f>
        <v>0</v>
      </c>
      <c r="E296" s="239">
        <f t="shared" si="110"/>
        <v>0</v>
      </c>
      <c r="F296" s="355">
        <f t="shared" si="110"/>
        <v>0</v>
      </c>
      <c r="G296" s="238">
        <f t="shared" si="110"/>
        <v>0</v>
      </c>
      <c r="H296" s="239">
        <f t="shared" si="110"/>
        <v>0</v>
      </c>
      <c r="I296" s="140">
        <f t="shared" si="110"/>
        <v>0</v>
      </c>
      <c r="J296" s="274"/>
      <c r="K296" s="241"/>
      <c r="L296" s="338"/>
      <c r="M296" s="272">
        <f>SUM(M301)</f>
        <v>0</v>
      </c>
      <c r="N296" s="239">
        <f>SUM(N301)</f>
        <v>0</v>
      </c>
      <c r="O296" s="140">
        <f>SUM(O301)</f>
        <v>0</v>
      </c>
      <c r="P296" s="240"/>
      <c r="Q296" s="241"/>
      <c r="R296" s="338"/>
      <c r="S296" s="272">
        <f>SUM(S301)</f>
        <v>0</v>
      </c>
      <c r="T296" s="239">
        <f>SUM(T301)</f>
        <v>0</v>
      </c>
      <c r="U296" s="140">
        <f>SUM(U301)</f>
        <v>0</v>
      </c>
      <c r="V296" s="240"/>
      <c r="W296" s="241"/>
      <c r="X296" s="83"/>
    </row>
    <row r="297" spans="1:24" s="13" customFormat="1" ht="15" customHeight="1">
      <c r="A297" s="75"/>
      <c r="B297" s="311"/>
      <c r="C297" s="117"/>
      <c r="D297" s="313"/>
      <c r="E297" s="314"/>
      <c r="F297" s="369"/>
      <c r="G297" s="367"/>
      <c r="H297" s="314"/>
      <c r="I297" s="152"/>
      <c r="J297" s="315"/>
      <c r="K297" s="316"/>
      <c r="L297" s="368"/>
      <c r="M297" s="367"/>
      <c r="N297" s="314"/>
      <c r="O297" s="152"/>
      <c r="P297" s="315"/>
      <c r="Q297" s="316"/>
      <c r="R297" s="368"/>
      <c r="S297" s="367"/>
      <c r="T297" s="314"/>
      <c r="U297" s="152"/>
      <c r="V297" s="315"/>
      <c r="W297" s="316"/>
      <c r="X297" s="117"/>
    </row>
    <row r="298" spans="1:24" s="7" customFormat="1" ht="15" customHeight="1">
      <c r="A298" s="126"/>
      <c r="B298" s="261"/>
      <c r="C298" s="262"/>
      <c r="D298" s="389" t="s">
        <v>11</v>
      </c>
      <c r="E298" s="390"/>
      <c r="F298" s="390"/>
      <c r="G298" s="390"/>
      <c r="H298" s="390"/>
      <c r="I298" s="390"/>
      <c r="J298" s="390"/>
      <c r="K298" s="390"/>
      <c r="L298" s="391"/>
      <c r="M298" s="390" t="s">
        <v>11</v>
      </c>
      <c r="N298" s="390"/>
      <c r="O298" s="390"/>
      <c r="P298" s="390"/>
      <c r="Q298" s="390"/>
      <c r="R298" s="390"/>
      <c r="S298" s="390"/>
      <c r="T298" s="390"/>
      <c r="U298" s="390"/>
      <c r="V298" s="390"/>
      <c r="W298" s="390"/>
      <c r="X298" s="390"/>
    </row>
    <row r="299" spans="1:24" s="13" customFormat="1" ht="34.5" customHeight="1">
      <c r="A299" s="72" t="s">
        <v>418</v>
      </c>
      <c r="B299" s="27" t="s">
        <v>32</v>
      </c>
      <c r="C299" s="284"/>
      <c r="D299" s="285">
        <f aca="true" t="shared" si="111" ref="D299:I299">SUM(D300:D301)</f>
        <v>93606.732</v>
      </c>
      <c r="E299" s="286">
        <f t="shared" si="111"/>
        <v>93606.732</v>
      </c>
      <c r="F299" s="361">
        <f t="shared" si="111"/>
        <v>0</v>
      </c>
      <c r="G299" s="264">
        <f t="shared" si="111"/>
        <v>15000</v>
      </c>
      <c r="H299" s="286">
        <f t="shared" si="111"/>
        <v>40500</v>
      </c>
      <c r="I299" s="143">
        <f t="shared" si="111"/>
        <v>25500</v>
      </c>
      <c r="J299" s="288"/>
      <c r="K299" s="289"/>
      <c r="L299" s="343"/>
      <c r="M299" s="285">
        <f>SUM(M300:M301)</f>
        <v>15000</v>
      </c>
      <c r="N299" s="286">
        <f>SUM(N300:N301)</f>
        <v>0</v>
      </c>
      <c r="O299" s="375">
        <f>SUM(O300:O301)</f>
        <v>-15000</v>
      </c>
      <c r="P299" s="288"/>
      <c r="Q299" s="289"/>
      <c r="R299" s="343"/>
      <c r="S299" s="264">
        <f>SUM(S300:S301)</f>
        <v>32500</v>
      </c>
      <c r="T299" s="286">
        <f>SUM(T300:T301)</f>
        <v>0</v>
      </c>
      <c r="U299" s="143">
        <f>SUM(U300:U301)</f>
        <v>-32500</v>
      </c>
      <c r="V299" s="288"/>
      <c r="W299" s="289"/>
      <c r="X299" s="85"/>
    </row>
    <row r="300" spans="1:24" s="13" customFormat="1" ht="15" customHeight="1">
      <c r="A300" s="72" t="s">
        <v>419</v>
      </c>
      <c r="B300" s="22" t="s">
        <v>7</v>
      </c>
      <c r="C300" s="284"/>
      <c r="D300" s="238">
        <f aca="true" t="shared" si="112" ref="D300:F301">SUM(D305)</f>
        <v>93606.732</v>
      </c>
      <c r="E300" s="239">
        <f t="shared" si="112"/>
        <v>93606.732</v>
      </c>
      <c r="F300" s="355">
        <f t="shared" si="112"/>
        <v>0</v>
      </c>
      <c r="G300" s="272">
        <f aca="true" t="shared" si="113" ref="G300:I301">SUM(G305)</f>
        <v>15000</v>
      </c>
      <c r="H300" s="239">
        <f t="shared" si="113"/>
        <v>40500</v>
      </c>
      <c r="I300" s="140">
        <f t="shared" si="113"/>
        <v>25500</v>
      </c>
      <c r="J300" s="240"/>
      <c r="K300" s="241"/>
      <c r="L300" s="338"/>
      <c r="M300" s="238">
        <f aca="true" t="shared" si="114" ref="M300:O301">SUM(M305)</f>
        <v>15000</v>
      </c>
      <c r="N300" s="239">
        <f t="shared" si="114"/>
        <v>0</v>
      </c>
      <c r="O300" s="376">
        <f t="shared" si="114"/>
        <v>-15000</v>
      </c>
      <c r="P300" s="240"/>
      <c r="Q300" s="241"/>
      <c r="R300" s="338"/>
      <c r="S300" s="272">
        <f aca="true" t="shared" si="115" ref="S300:U301">SUM(S305)</f>
        <v>32500</v>
      </c>
      <c r="T300" s="239">
        <f t="shared" si="115"/>
        <v>0</v>
      </c>
      <c r="U300" s="140">
        <f t="shared" si="115"/>
        <v>-32500</v>
      </c>
      <c r="V300" s="240"/>
      <c r="W300" s="241"/>
      <c r="X300" s="83"/>
    </row>
    <row r="301" spans="1:24" s="13" customFormat="1" ht="15" customHeight="1">
      <c r="A301" s="72" t="s">
        <v>420</v>
      </c>
      <c r="B301" s="22" t="s">
        <v>9</v>
      </c>
      <c r="C301" s="284"/>
      <c r="D301" s="238">
        <f t="shared" si="112"/>
        <v>0</v>
      </c>
      <c r="E301" s="239">
        <f t="shared" si="112"/>
        <v>0</v>
      </c>
      <c r="F301" s="355">
        <f t="shared" si="112"/>
        <v>0</v>
      </c>
      <c r="G301" s="272">
        <f t="shared" si="113"/>
        <v>0</v>
      </c>
      <c r="H301" s="239">
        <f t="shared" si="113"/>
        <v>0</v>
      </c>
      <c r="I301" s="140">
        <f t="shared" si="113"/>
        <v>0</v>
      </c>
      <c r="J301" s="240"/>
      <c r="K301" s="241"/>
      <c r="L301" s="338"/>
      <c r="M301" s="238">
        <f t="shared" si="114"/>
        <v>0</v>
      </c>
      <c r="N301" s="239">
        <f t="shared" si="114"/>
        <v>0</v>
      </c>
      <c r="O301" s="376">
        <f t="shared" si="114"/>
        <v>0</v>
      </c>
      <c r="P301" s="240"/>
      <c r="Q301" s="241"/>
      <c r="R301" s="338"/>
      <c r="S301" s="272">
        <f t="shared" si="115"/>
        <v>0</v>
      </c>
      <c r="T301" s="239">
        <f t="shared" si="115"/>
        <v>0</v>
      </c>
      <c r="U301" s="140">
        <f t="shared" si="115"/>
        <v>0</v>
      </c>
      <c r="V301" s="240"/>
      <c r="W301" s="241"/>
      <c r="X301" s="83"/>
    </row>
    <row r="302" spans="1:24" s="13" customFormat="1" ht="15" customHeight="1">
      <c r="A302" s="75"/>
      <c r="B302" s="317"/>
      <c r="C302" s="294"/>
      <c r="D302" s="238"/>
      <c r="E302" s="239"/>
      <c r="F302" s="355"/>
      <c r="G302" s="272"/>
      <c r="H302" s="239"/>
      <c r="I302" s="140"/>
      <c r="J302" s="240"/>
      <c r="K302" s="241"/>
      <c r="L302" s="338"/>
      <c r="M302" s="272"/>
      <c r="N302" s="239"/>
      <c r="O302" s="140"/>
      <c r="P302" s="240"/>
      <c r="Q302" s="241"/>
      <c r="R302" s="338"/>
      <c r="S302" s="272"/>
      <c r="T302" s="239"/>
      <c r="U302" s="140"/>
      <c r="V302" s="240"/>
      <c r="W302" s="241"/>
      <c r="X302" s="83"/>
    </row>
    <row r="303" spans="1:24" s="13" customFormat="1" ht="15" customHeight="1">
      <c r="A303" s="129"/>
      <c r="B303" s="318"/>
      <c r="C303" s="319"/>
      <c r="D303" s="402" t="s">
        <v>23</v>
      </c>
      <c r="E303" s="403"/>
      <c r="F303" s="403"/>
      <c r="G303" s="403"/>
      <c r="H303" s="403"/>
      <c r="I303" s="403"/>
      <c r="J303" s="403"/>
      <c r="K303" s="403"/>
      <c r="L303" s="403"/>
      <c r="M303" s="403" t="s">
        <v>23</v>
      </c>
      <c r="N303" s="403"/>
      <c r="O303" s="403"/>
      <c r="P303" s="403"/>
      <c r="Q303" s="403"/>
      <c r="R303" s="403"/>
      <c r="S303" s="403"/>
      <c r="T303" s="403"/>
      <c r="U303" s="403"/>
      <c r="V303" s="403"/>
      <c r="W303" s="403"/>
      <c r="X303" s="403"/>
    </row>
    <row r="304" spans="1:24" s="25" customFormat="1" ht="47.25">
      <c r="A304" s="72" t="s">
        <v>421</v>
      </c>
      <c r="B304" s="27" t="s">
        <v>113</v>
      </c>
      <c r="C304" s="284"/>
      <c r="D304" s="285">
        <f aca="true" t="shared" si="116" ref="D304:I304">SUM(D305:D306)</f>
        <v>93606.732</v>
      </c>
      <c r="E304" s="286">
        <f t="shared" si="116"/>
        <v>93606.732</v>
      </c>
      <c r="F304" s="361">
        <f t="shared" si="116"/>
        <v>0</v>
      </c>
      <c r="G304" s="264">
        <f t="shared" si="116"/>
        <v>15000</v>
      </c>
      <c r="H304" s="286">
        <f t="shared" si="116"/>
        <v>40500</v>
      </c>
      <c r="I304" s="143">
        <f t="shared" si="116"/>
        <v>25500</v>
      </c>
      <c r="J304" s="288"/>
      <c r="K304" s="289"/>
      <c r="L304" s="343"/>
      <c r="M304" s="264">
        <f>SUM(M305:M306)</f>
        <v>15000</v>
      </c>
      <c r="N304" s="286">
        <f>SUM(N305:N306)</f>
        <v>0</v>
      </c>
      <c r="O304" s="143">
        <f>SUM(O305:O306)</f>
        <v>-15000</v>
      </c>
      <c r="P304" s="288"/>
      <c r="Q304" s="289"/>
      <c r="R304" s="343"/>
      <c r="S304" s="285">
        <f>SUM(S305:S306)</f>
        <v>32500</v>
      </c>
      <c r="T304" s="286">
        <f>SUM(T305:T306)</f>
        <v>0</v>
      </c>
      <c r="U304" s="361">
        <f>SUM(U305:U306)</f>
        <v>-32500</v>
      </c>
      <c r="V304" s="288"/>
      <c r="W304" s="289"/>
      <c r="X304" s="85"/>
    </row>
    <row r="305" spans="1:24" s="13" customFormat="1" ht="15" customHeight="1">
      <c r="A305" s="72" t="s">
        <v>422</v>
      </c>
      <c r="B305" s="22" t="s">
        <v>7</v>
      </c>
      <c r="C305" s="284"/>
      <c r="D305" s="238">
        <f aca="true" t="shared" si="117" ref="D305:F306">D309</f>
        <v>93606.732</v>
      </c>
      <c r="E305" s="239">
        <f t="shared" si="117"/>
        <v>93606.732</v>
      </c>
      <c r="F305" s="355">
        <f t="shared" si="117"/>
        <v>0</v>
      </c>
      <c r="G305" s="272">
        <f aca="true" t="shared" si="118" ref="G305:I306">G309</f>
        <v>15000</v>
      </c>
      <c r="H305" s="239">
        <f t="shared" si="118"/>
        <v>40500</v>
      </c>
      <c r="I305" s="140">
        <f t="shared" si="118"/>
        <v>25500</v>
      </c>
      <c r="J305" s="240"/>
      <c r="K305" s="241"/>
      <c r="L305" s="338"/>
      <c r="M305" s="272">
        <f aca="true" t="shared" si="119" ref="M305:O306">M309</f>
        <v>15000</v>
      </c>
      <c r="N305" s="239">
        <f t="shared" si="119"/>
        <v>0</v>
      </c>
      <c r="O305" s="140">
        <f t="shared" si="119"/>
        <v>-15000</v>
      </c>
      <c r="P305" s="240"/>
      <c r="Q305" s="241"/>
      <c r="R305" s="338"/>
      <c r="S305" s="238">
        <f aca="true" t="shared" si="120" ref="S305:U306">S309</f>
        <v>32500</v>
      </c>
      <c r="T305" s="239">
        <f t="shared" si="120"/>
        <v>0</v>
      </c>
      <c r="U305" s="355">
        <f t="shared" si="120"/>
        <v>-32500</v>
      </c>
      <c r="V305" s="240"/>
      <c r="W305" s="241"/>
      <c r="X305" s="83"/>
    </row>
    <row r="306" spans="1:24" s="13" customFormat="1" ht="15" customHeight="1">
      <c r="A306" s="72" t="s">
        <v>423</v>
      </c>
      <c r="B306" s="22" t="s">
        <v>9</v>
      </c>
      <c r="C306" s="284"/>
      <c r="D306" s="238">
        <f t="shared" si="117"/>
        <v>0</v>
      </c>
      <c r="E306" s="239">
        <f t="shared" si="117"/>
        <v>0</v>
      </c>
      <c r="F306" s="355">
        <f t="shared" si="117"/>
        <v>0</v>
      </c>
      <c r="G306" s="272">
        <f t="shared" si="118"/>
        <v>0</v>
      </c>
      <c r="H306" s="239">
        <f t="shared" si="118"/>
        <v>0</v>
      </c>
      <c r="I306" s="140">
        <f t="shared" si="118"/>
        <v>0</v>
      </c>
      <c r="J306" s="240"/>
      <c r="K306" s="241"/>
      <c r="L306" s="338"/>
      <c r="M306" s="272">
        <f t="shared" si="119"/>
        <v>0</v>
      </c>
      <c r="N306" s="239">
        <f t="shared" si="119"/>
        <v>0</v>
      </c>
      <c r="O306" s="140">
        <f t="shared" si="119"/>
        <v>0</v>
      </c>
      <c r="P306" s="240"/>
      <c r="Q306" s="241"/>
      <c r="R306" s="338"/>
      <c r="S306" s="238">
        <f t="shared" si="120"/>
        <v>0</v>
      </c>
      <c r="T306" s="239">
        <f t="shared" si="120"/>
        <v>0</v>
      </c>
      <c r="U306" s="355">
        <f t="shared" si="120"/>
        <v>0</v>
      </c>
      <c r="V306" s="240"/>
      <c r="W306" s="241"/>
      <c r="X306" s="83"/>
    </row>
    <row r="307" spans="1:24" s="13" customFormat="1" ht="15" customHeight="1">
      <c r="A307" s="72"/>
      <c r="B307" s="65"/>
      <c r="C307" s="284"/>
      <c r="D307" s="238"/>
      <c r="E307" s="239"/>
      <c r="F307" s="355"/>
      <c r="G307" s="272"/>
      <c r="H307" s="239"/>
      <c r="I307" s="140"/>
      <c r="J307" s="240"/>
      <c r="K307" s="241"/>
      <c r="L307" s="338"/>
      <c r="M307" s="272"/>
      <c r="N307" s="239"/>
      <c r="O307" s="140"/>
      <c r="P307" s="240"/>
      <c r="Q307" s="241"/>
      <c r="R307" s="338"/>
      <c r="S307" s="272"/>
      <c r="T307" s="239"/>
      <c r="U307" s="140"/>
      <c r="V307" s="240"/>
      <c r="W307" s="241"/>
      <c r="X307" s="83"/>
    </row>
    <row r="308" spans="1:24" s="13" customFormat="1" ht="162.75" customHeight="1">
      <c r="A308" s="72" t="s">
        <v>424</v>
      </c>
      <c r="B308" s="27" t="s">
        <v>112</v>
      </c>
      <c r="C308" s="280" t="s">
        <v>616</v>
      </c>
      <c r="D308" s="285">
        <f aca="true" t="shared" si="121" ref="D308:I308">SUM(D309:D310)</f>
        <v>93606.732</v>
      </c>
      <c r="E308" s="286">
        <f t="shared" si="121"/>
        <v>93606.732</v>
      </c>
      <c r="F308" s="361">
        <f t="shared" si="121"/>
        <v>0</v>
      </c>
      <c r="G308" s="264">
        <f>SUM(G309:G310)</f>
        <v>15000</v>
      </c>
      <c r="H308" s="286">
        <f>SUM(H309:H310)</f>
        <v>40500</v>
      </c>
      <c r="I308" s="143">
        <f t="shared" si="121"/>
        <v>25500</v>
      </c>
      <c r="J308" s="306" t="s">
        <v>618</v>
      </c>
      <c r="K308" s="307" t="s">
        <v>618</v>
      </c>
      <c r="L308" s="346" t="s">
        <v>617</v>
      </c>
      <c r="M308" s="264">
        <f>SUM(M309:M310)</f>
        <v>15000</v>
      </c>
      <c r="N308" s="286">
        <f>SUM(N309:N310)</f>
        <v>0</v>
      </c>
      <c r="O308" s="143">
        <f>SUM(O309:O310)</f>
        <v>-15000</v>
      </c>
      <c r="P308" s="306" t="s">
        <v>619</v>
      </c>
      <c r="Q308" s="307" t="s">
        <v>619</v>
      </c>
      <c r="R308" s="346" t="s">
        <v>617</v>
      </c>
      <c r="S308" s="264">
        <f>SUM(S309:S310)</f>
        <v>32500</v>
      </c>
      <c r="T308" s="286">
        <f>SUM(T309:T310)</f>
        <v>0</v>
      </c>
      <c r="U308" s="143">
        <f>SUM(U309:U310)</f>
        <v>-32500</v>
      </c>
      <c r="V308" s="306" t="s">
        <v>619</v>
      </c>
      <c r="W308" s="307" t="s">
        <v>619</v>
      </c>
      <c r="X308" s="308" t="s">
        <v>617</v>
      </c>
    </row>
    <row r="309" spans="1:24" s="13" customFormat="1" ht="15" customHeight="1">
      <c r="A309" s="72" t="s">
        <v>425</v>
      </c>
      <c r="B309" s="22" t="s">
        <v>7</v>
      </c>
      <c r="C309" s="284"/>
      <c r="D309" s="238">
        <v>93606.732</v>
      </c>
      <c r="E309" s="239">
        <v>93606.732</v>
      </c>
      <c r="F309" s="355">
        <f>E309-D309</f>
        <v>0</v>
      </c>
      <c r="G309" s="272">
        <v>15000</v>
      </c>
      <c r="H309" s="239">
        <v>40500</v>
      </c>
      <c r="I309" s="140">
        <f>H309-G309</f>
        <v>25500</v>
      </c>
      <c r="J309" s="240"/>
      <c r="K309" s="241"/>
      <c r="L309" s="338"/>
      <c r="M309" s="272">
        <v>15000</v>
      </c>
      <c r="N309" s="239">
        <v>0</v>
      </c>
      <c r="O309" s="140">
        <f>N309-M309</f>
        <v>-15000</v>
      </c>
      <c r="P309" s="240"/>
      <c r="Q309" s="241"/>
      <c r="R309" s="338"/>
      <c r="S309" s="272">
        <v>32500</v>
      </c>
      <c r="T309" s="239">
        <v>0</v>
      </c>
      <c r="U309" s="140">
        <f>T309-S309</f>
        <v>-32500</v>
      </c>
      <c r="V309" s="240"/>
      <c r="W309" s="241"/>
      <c r="X309" s="83"/>
    </row>
    <row r="310" spans="1:24" s="13" customFormat="1" ht="15" customHeight="1">
      <c r="A310" s="72" t="s">
        <v>426</v>
      </c>
      <c r="B310" s="22" t="s">
        <v>9</v>
      </c>
      <c r="C310" s="284"/>
      <c r="D310" s="238"/>
      <c r="E310" s="239"/>
      <c r="F310" s="355">
        <f>E310-D310</f>
        <v>0</v>
      </c>
      <c r="G310" s="272"/>
      <c r="H310" s="239"/>
      <c r="I310" s="140">
        <f>H310-G310</f>
        <v>0</v>
      </c>
      <c r="J310" s="240"/>
      <c r="K310" s="241"/>
      <c r="L310" s="338"/>
      <c r="M310" s="272"/>
      <c r="N310" s="239"/>
      <c r="O310" s="140">
        <f>N310-M310</f>
        <v>0</v>
      </c>
      <c r="P310" s="240"/>
      <c r="Q310" s="241"/>
      <c r="R310" s="338"/>
      <c r="S310" s="272"/>
      <c r="T310" s="239"/>
      <c r="U310" s="140">
        <f>T310-S310</f>
        <v>0</v>
      </c>
      <c r="V310" s="240"/>
      <c r="W310" s="241"/>
      <c r="X310" s="83"/>
    </row>
    <row r="311" spans="1:24" s="13" customFormat="1" ht="15" customHeight="1">
      <c r="A311" s="75"/>
      <c r="B311" s="317"/>
      <c r="C311" s="294"/>
      <c r="D311" s="238"/>
      <c r="E311" s="239"/>
      <c r="F311" s="355"/>
      <c r="G311" s="272"/>
      <c r="H311" s="239"/>
      <c r="I311" s="140"/>
      <c r="J311" s="240"/>
      <c r="K311" s="241"/>
      <c r="L311" s="338"/>
      <c r="M311" s="272"/>
      <c r="N311" s="239"/>
      <c r="O311" s="140"/>
      <c r="P311" s="240"/>
      <c r="Q311" s="241"/>
      <c r="R311" s="338"/>
      <c r="S311" s="272"/>
      <c r="T311" s="239"/>
      <c r="U311" s="140"/>
      <c r="V311" s="240"/>
      <c r="W311" s="241"/>
      <c r="X311" s="83"/>
    </row>
    <row r="312" spans="1:24" s="13" customFormat="1" ht="15" customHeight="1">
      <c r="A312" s="128"/>
      <c r="B312" s="322"/>
      <c r="C312" s="302"/>
      <c r="D312" s="399" t="s">
        <v>15</v>
      </c>
      <c r="E312" s="400"/>
      <c r="F312" s="400"/>
      <c r="G312" s="400"/>
      <c r="H312" s="400"/>
      <c r="I312" s="400"/>
      <c r="J312" s="400"/>
      <c r="K312" s="400"/>
      <c r="L312" s="422"/>
      <c r="M312" s="400" t="s">
        <v>15</v>
      </c>
      <c r="N312" s="400"/>
      <c r="O312" s="400"/>
      <c r="P312" s="400"/>
      <c r="Q312" s="400"/>
      <c r="R312" s="400"/>
      <c r="S312" s="400"/>
      <c r="T312" s="400"/>
      <c r="U312" s="400"/>
      <c r="V312" s="400"/>
      <c r="W312" s="400"/>
      <c r="X312" s="400"/>
    </row>
    <row r="313" spans="1:24" s="13" customFormat="1" ht="31.5">
      <c r="A313" s="72" t="s">
        <v>427</v>
      </c>
      <c r="B313" s="27" t="s">
        <v>16</v>
      </c>
      <c r="C313" s="284"/>
      <c r="D313" s="285">
        <f>SUM(D314:D314)</f>
        <v>762.552</v>
      </c>
      <c r="E313" s="286">
        <f>SUM(E314:E314)</f>
        <v>6062.552</v>
      </c>
      <c r="F313" s="361">
        <f>E313-D313</f>
        <v>5300</v>
      </c>
      <c r="G313" s="264">
        <f>SUM(G314:G314)</f>
        <v>300</v>
      </c>
      <c r="H313" s="286">
        <f>SUM(H314:H314)</f>
        <v>6000</v>
      </c>
      <c r="I313" s="143">
        <f>H313-G313</f>
        <v>5700</v>
      </c>
      <c r="J313" s="288"/>
      <c r="K313" s="289"/>
      <c r="L313" s="343"/>
      <c r="M313" s="264">
        <f>SUM(M314:M314)</f>
        <v>200</v>
      </c>
      <c r="N313" s="286">
        <f>SUM(N314:N314)</f>
        <v>0</v>
      </c>
      <c r="O313" s="143">
        <f>N313-M313</f>
        <v>-200</v>
      </c>
      <c r="P313" s="288"/>
      <c r="Q313" s="289"/>
      <c r="R313" s="343"/>
      <c r="S313" s="264">
        <f>SUM(S314:S314)</f>
        <v>200</v>
      </c>
      <c r="T313" s="286">
        <f>SUM(T314:T314)</f>
        <v>0</v>
      </c>
      <c r="U313" s="143">
        <f>T313-S313</f>
        <v>-200</v>
      </c>
      <c r="V313" s="288"/>
      <c r="W313" s="289"/>
      <c r="X313" s="85"/>
    </row>
    <row r="314" spans="1:24" s="13" customFormat="1" ht="15" customHeight="1">
      <c r="A314" s="72" t="s">
        <v>428</v>
      </c>
      <c r="B314" s="22" t="s">
        <v>7</v>
      </c>
      <c r="C314" s="284"/>
      <c r="D314" s="238">
        <f>SUM(D317+D320+D323)</f>
        <v>762.552</v>
      </c>
      <c r="E314" s="239">
        <f>SUM(E317+E320+E323)</f>
        <v>6062.552</v>
      </c>
      <c r="F314" s="355">
        <f>E314-D314</f>
        <v>5300</v>
      </c>
      <c r="G314" s="272">
        <f>SUM(G317+G320+G323)</f>
        <v>300</v>
      </c>
      <c r="H314" s="239">
        <f>SUM(H317+H320+H323)</f>
        <v>6000</v>
      </c>
      <c r="I314" s="140">
        <f>H314-G314</f>
        <v>5700</v>
      </c>
      <c r="J314" s="240"/>
      <c r="K314" s="241"/>
      <c r="L314" s="338"/>
      <c r="M314" s="272">
        <f>SUM(M317+M320+M323)</f>
        <v>200</v>
      </c>
      <c r="N314" s="239">
        <f>SUM(N317+N320+N323)</f>
        <v>0</v>
      </c>
      <c r="O314" s="140">
        <f>N314-M314</f>
        <v>-200</v>
      </c>
      <c r="P314" s="240"/>
      <c r="Q314" s="241"/>
      <c r="R314" s="338"/>
      <c r="S314" s="272">
        <f>SUM(S317+S320+S323)</f>
        <v>200</v>
      </c>
      <c r="T314" s="239">
        <f>SUM(T317+T320+T323)</f>
        <v>0</v>
      </c>
      <c r="U314" s="140">
        <f>T314-S314</f>
        <v>-200</v>
      </c>
      <c r="V314" s="240"/>
      <c r="W314" s="241"/>
      <c r="X314" s="83"/>
    </row>
    <row r="315" spans="1:24" s="13" customFormat="1" ht="15" customHeight="1">
      <c r="A315" s="72"/>
      <c r="B315" s="19"/>
      <c r="C315" s="320"/>
      <c r="D315" s="313"/>
      <c r="E315" s="314"/>
      <c r="F315" s="369"/>
      <c r="G315" s="367"/>
      <c r="H315" s="314"/>
      <c r="I315" s="152"/>
      <c r="J315" s="315"/>
      <c r="K315" s="316"/>
      <c r="L315" s="368"/>
      <c r="M315" s="367"/>
      <c r="N315" s="314"/>
      <c r="O315" s="152"/>
      <c r="P315" s="315"/>
      <c r="Q315" s="316"/>
      <c r="R315" s="368"/>
      <c r="S315" s="367"/>
      <c r="T315" s="314"/>
      <c r="U315" s="152"/>
      <c r="V315" s="315"/>
      <c r="W315" s="316"/>
      <c r="X315" s="117"/>
    </row>
    <row r="316" spans="1:24" s="13" customFormat="1" ht="108" customHeight="1">
      <c r="A316" s="72" t="s">
        <v>429</v>
      </c>
      <c r="B316" s="27" t="s">
        <v>114</v>
      </c>
      <c r="C316" s="280" t="s">
        <v>620</v>
      </c>
      <c r="D316" s="285">
        <f aca="true" t="shared" si="122" ref="D316:I316">SUM(D317:D317)</f>
        <v>401.552</v>
      </c>
      <c r="E316" s="286">
        <f t="shared" si="122"/>
        <v>51.552</v>
      </c>
      <c r="F316" s="361">
        <f t="shared" si="122"/>
        <v>-350</v>
      </c>
      <c r="G316" s="264">
        <f t="shared" si="122"/>
        <v>150</v>
      </c>
      <c r="H316" s="286">
        <f t="shared" si="122"/>
        <v>0</v>
      </c>
      <c r="I316" s="143">
        <f t="shared" si="122"/>
        <v>-150</v>
      </c>
      <c r="J316" s="281" t="s">
        <v>622</v>
      </c>
      <c r="K316" s="282" t="s">
        <v>622</v>
      </c>
      <c r="L316" s="344" t="s">
        <v>621</v>
      </c>
      <c r="M316" s="264">
        <f>SUM(M317:M317)</f>
        <v>100</v>
      </c>
      <c r="N316" s="286">
        <f>SUM(N317:N317)</f>
        <v>0</v>
      </c>
      <c r="O316" s="143">
        <f>SUM(O317:O317)</f>
        <v>-100</v>
      </c>
      <c r="P316" s="281" t="s">
        <v>623</v>
      </c>
      <c r="Q316" s="282" t="s">
        <v>623</v>
      </c>
      <c r="R316" s="344" t="s">
        <v>621</v>
      </c>
      <c r="S316" s="264">
        <f>SUM(S317:S317)</f>
        <v>100</v>
      </c>
      <c r="T316" s="286">
        <f>SUM(T317:T317)</f>
        <v>0</v>
      </c>
      <c r="U316" s="143">
        <f>SUM(U317:U317)</f>
        <v>-100</v>
      </c>
      <c r="V316" s="281" t="s">
        <v>623</v>
      </c>
      <c r="W316" s="282" t="s">
        <v>623</v>
      </c>
      <c r="X316" s="283" t="s">
        <v>621</v>
      </c>
    </row>
    <row r="317" spans="1:24" s="13" customFormat="1" ht="15" customHeight="1">
      <c r="A317" s="72" t="s">
        <v>430</v>
      </c>
      <c r="B317" s="22" t="s">
        <v>7</v>
      </c>
      <c r="C317" s="284"/>
      <c r="D317" s="238">
        <v>401.552</v>
      </c>
      <c r="E317" s="239">
        <v>51.552</v>
      </c>
      <c r="F317" s="355">
        <f>E317-D317</f>
        <v>-350</v>
      </c>
      <c r="G317" s="272">
        <v>150</v>
      </c>
      <c r="H317" s="239">
        <v>0</v>
      </c>
      <c r="I317" s="140">
        <f>H317-G317</f>
        <v>-150</v>
      </c>
      <c r="J317" s="240"/>
      <c r="K317" s="241"/>
      <c r="L317" s="338"/>
      <c r="M317" s="272">
        <v>100</v>
      </c>
      <c r="N317" s="239">
        <v>0</v>
      </c>
      <c r="O317" s="140">
        <f>N317-M317</f>
        <v>-100</v>
      </c>
      <c r="P317" s="240"/>
      <c r="Q317" s="241"/>
      <c r="R317" s="338"/>
      <c r="S317" s="272">
        <v>100</v>
      </c>
      <c r="T317" s="239">
        <v>0</v>
      </c>
      <c r="U317" s="140">
        <f>T317-S317</f>
        <v>-100</v>
      </c>
      <c r="V317" s="240"/>
      <c r="W317" s="241"/>
      <c r="X317" s="83"/>
    </row>
    <row r="318" spans="1:24" s="13" customFormat="1" ht="15" customHeight="1">
      <c r="A318" s="72"/>
      <c r="B318" s="22"/>
      <c r="C318" s="284"/>
      <c r="D318" s="238"/>
      <c r="E318" s="239"/>
      <c r="F318" s="355"/>
      <c r="G318" s="272"/>
      <c r="H318" s="239"/>
      <c r="I318" s="140"/>
      <c r="J318" s="240"/>
      <c r="K318" s="241"/>
      <c r="L318" s="338"/>
      <c r="M318" s="272"/>
      <c r="N318" s="239"/>
      <c r="O318" s="140"/>
      <c r="P318" s="240"/>
      <c r="Q318" s="241"/>
      <c r="R318" s="338"/>
      <c r="S318" s="272"/>
      <c r="T318" s="239"/>
      <c r="U318" s="140"/>
      <c r="V318" s="240"/>
      <c r="W318" s="241"/>
      <c r="X318" s="83"/>
    </row>
    <row r="319" spans="1:24" s="13" customFormat="1" ht="66.75" customHeight="1">
      <c r="A319" s="72" t="s">
        <v>431</v>
      </c>
      <c r="B319" s="27" t="s">
        <v>115</v>
      </c>
      <c r="C319" s="280" t="s">
        <v>624</v>
      </c>
      <c r="D319" s="285">
        <f aca="true" t="shared" si="123" ref="D319:I319">SUM(D320:D320)</f>
        <v>361</v>
      </c>
      <c r="E319" s="286">
        <f t="shared" si="123"/>
        <v>11</v>
      </c>
      <c r="F319" s="361">
        <f t="shared" si="123"/>
        <v>-350</v>
      </c>
      <c r="G319" s="264">
        <f t="shared" si="123"/>
        <v>150</v>
      </c>
      <c r="H319" s="286">
        <f t="shared" si="123"/>
        <v>0</v>
      </c>
      <c r="I319" s="143">
        <f t="shared" si="123"/>
        <v>-150</v>
      </c>
      <c r="J319" s="306" t="s">
        <v>626</v>
      </c>
      <c r="K319" s="307" t="s">
        <v>626</v>
      </c>
      <c r="L319" s="344" t="s">
        <v>625</v>
      </c>
      <c r="M319" s="264">
        <f>SUM(M320:M320)</f>
        <v>100</v>
      </c>
      <c r="N319" s="286">
        <f>SUM(N320:N320)</f>
        <v>0</v>
      </c>
      <c r="O319" s="143">
        <f>SUM(O320:O320)</f>
        <v>-100</v>
      </c>
      <c r="P319" s="306" t="s">
        <v>627</v>
      </c>
      <c r="Q319" s="307" t="s">
        <v>627</v>
      </c>
      <c r="R319" s="344" t="s">
        <v>625</v>
      </c>
      <c r="S319" s="264">
        <f>SUM(S320:S320)</f>
        <v>100</v>
      </c>
      <c r="T319" s="286">
        <f>SUM(T320:T320)</f>
        <v>0</v>
      </c>
      <c r="U319" s="143">
        <f>SUM(U320:U320)</f>
        <v>-100</v>
      </c>
      <c r="V319" s="306" t="s">
        <v>711</v>
      </c>
      <c r="W319" s="307" t="s">
        <v>711</v>
      </c>
      <c r="X319" s="321" t="s">
        <v>625</v>
      </c>
    </row>
    <row r="320" spans="1:24" s="13" customFormat="1" ht="15" customHeight="1">
      <c r="A320" s="72" t="s">
        <v>432</v>
      </c>
      <c r="B320" s="22" t="s">
        <v>7</v>
      </c>
      <c r="C320" s="284"/>
      <c r="D320" s="238">
        <v>361</v>
      </c>
      <c r="E320" s="239">
        <v>11</v>
      </c>
      <c r="F320" s="355">
        <f>E320-D320</f>
        <v>-350</v>
      </c>
      <c r="G320" s="272">
        <v>150</v>
      </c>
      <c r="H320" s="239">
        <v>0</v>
      </c>
      <c r="I320" s="140">
        <f>H320-G320</f>
        <v>-150</v>
      </c>
      <c r="J320" s="240"/>
      <c r="K320" s="241"/>
      <c r="L320" s="338"/>
      <c r="M320" s="272">
        <v>100</v>
      </c>
      <c r="N320" s="239">
        <v>0</v>
      </c>
      <c r="O320" s="140">
        <f>N320-M320</f>
        <v>-100</v>
      </c>
      <c r="P320" s="240"/>
      <c r="Q320" s="241"/>
      <c r="R320" s="338"/>
      <c r="S320" s="272">
        <v>100</v>
      </c>
      <c r="T320" s="239">
        <v>0</v>
      </c>
      <c r="U320" s="140">
        <f>T320-S320</f>
        <v>-100</v>
      </c>
      <c r="V320" s="240"/>
      <c r="W320" s="241"/>
      <c r="X320" s="83"/>
    </row>
    <row r="321" spans="1:24" s="13" customFormat="1" ht="15" customHeight="1">
      <c r="A321" s="72"/>
      <c r="B321" s="65"/>
      <c r="C321" s="284"/>
      <c r="D321" s="238"/>
      <c r="E321" s="239"/>
      <c r="F321" s="355"/>
      <c r="G321" s="272"/>
      <c r="H321" s="239"/>
      <c r="I321" s="140"/>
      <c r="J321" s="240"/>
      <c r="K321" s="241"/>
      <c r="L321" s="338"/>
      <c r="M321" s="272"/>
      <c r="N321" s="239"/>
      <c r="O321" s="140"/>
      <c r="P321" s="240"/>
      <c r="Q321" s="241"/>
      <c r="R321" s="338"/>
      <c r="S321" s="272"/>
      <c r="T321" s="239"/>
      <c r="U321" s="140"/>
      <c r="V321" s="240"/>
      <c r="W321" s="241"/>
      <c r="X321" s="83"/>
    </row>
    <row r="322" spans="1:24" s="13" customFormat="1" ht="66.75" customHeight="1">
      <c r="A322" s="72" t="s">
        <v>433</v>
      </c>
      <c r="B322" s="27" t="s">
        <v>529</v>
      </c>
      <c r="C322" s="280" t="s">
        <v>731</v>
      </c>
      <c r="D322" s="285">
        <f aca="true" t="shared" si="124" ref="D322:I322">SUM(D323:D323)</f>
        <v>0</v>
      </c>
      <c r="E322" s="286">
        <f t="shared" si="124"/>
        <v>6000</v>
      </c>
      <c r="F322" s="361">
        <f t="shared" si="124"/>
        <v>6000</v>
      </c>
      <c r="G322" s="264">
        <f t="shared" si="124"/>
        <v>0</v>
      </c>
      <c r="H322" s="286">
        <f t="shared" si="124"/>
        <v>6000</v>
      </c>
      <c r="I322" s="143">
        <f t="shared" si="124"/>
        <v>6000</v>
      </c>
      <c r="J322" s="306" t="s">
        <v>732</v>
      </c>
      <c r="K322" s="307" t="s">
        <v>732</v>
      </c>
      <c r="L322" s="346" t="s">
        <v>733</v>
      </c>
      <c r="M322" s="264">
        <f>SUM(M323:M323)</f>
        <v>0</v>
      </c>
      <c r="N322" s="286">
        <f>SUM(N323:N323)</f>
        <v>0</v>
      </c>
      <c r="O322" s="143">
        <f>SUM(O323:O323)</f>
        <v>0</v>
      </c>
      <c r="P322" s="306" t="s">
        <v>732</v>
      </c>
      <c r="Q322" s="307" t="s">
        <v>732</v>
      </c>
      <c r="R322" s="346" t="s">
        <v>733</v>
      </c>
      <c r="S322" s="264">
        <f>SUM(S323:S323)</f>
        <v>0</v>
      </c>
      <c r="T322" s="286">
        <f>SUM(T323:T323)</f>
        <v>0</v>
      </c>
      <c r="U322" s="143">
        <f>SUM(U323:U323)</f>
        <v>0</v>
      </c>
      <c r="V322" s="306" t="s">
        <v>732</v>
      </c>
      <c r="W322" s="307" t="s">
        <v>732</v>
      </c>
      <c r="X322" s="308" t="s">
        <v>733</v>
      </c>
    </row>
    <row r="323" spans="1:24" s="13" customFormat="1" ht="15" customHeight="1">
      <c r="A323" s="72" t="s">
        <v>434</v>
      </c>
      <c r="B323" s="22" t="s">
        <v>7</v>
      </c>
      <c r="C323" s="284"/>
      <c r="D323" s="238"/>
      <c r="E323" s="239">
        <v>6000</v>
      </c>
      <c r="F323" s="355">
        <f>E323-D323</f>
        <v>6000</v>
      </c>
      <c r="G323" s="272"/>
      <c r="H323" s="239">
        <v>6000</v>
      </c>
      <c r="I323" s="140">
        <f>H323-G323</f>
        <v>6000</v>
      </c>
      <c r="J323" s="240"/>
      <c r="K323" s="241"/>
      <c r="L323" s="338"/>
      <c r="M323" s="272"/>
      <c r="N323" s="239"/>
      <c r="O323" s="140">
        <f>N323-M323</f>
        <v>0</v>
      </c>
      <c r="P323" s="240"/>
      <c r="Q323" s="241"/>
      <c r="R323" s="338"/>
      <c r="S323" s="272"/>
      <c r="T323" s="239"/>
      <c r="U323" s="140">
        <f>T323-S323</f>
        <v>0</v>
      </c>
      <c r="V323" s="240"/>
      <c r="W323" s="241"/>
      <c r="X323" s="83"/>
    </row>
    <row r="324" spans="1:24" s="7" customFormat="1" ht="15" customHeight="1">
      <c r="A324" s="77"/>
      <c r="B324" s="8"/>
      <c r="C324" s="237"/>
      <c r="D324" s="251"/>
      <c r="E324" s="252"/>
      <c r="F324" s="358"/>
      <c r="G324" s="276"/>
      <c r="H324" s="252"/>
      <c r="I324" s="155"/>
      <c r="J324" s="253"/>
      <c r="K324" s="254"/>
      <c r="L324" s="341"/>
      <c r="M324" s="276"/>
      <c r="N324" s="252"/>
      <c r="O324" s="155"/>
      <c r="P324" s="253"/>
      <c r="Q324" s="254"/>
      <c r="R324" s="341"/>
      <c r="S324" s="276"/>
      <c r="T324" s="252"/>
      <c r="U324" s="155"/>
      <c r="V324" s="253"/>
      <c r="W324" s="254"/>
      <c r="X324" s="87"/>
    </row>
    <row r="325" spans="1:24" s="6" customFormat="1" ht="15" customHeight="1">
      <c r="A325" s="125"/>
      <c r="B325" s="255"/>
      <c r="C325" s="301"/>
      <c r="D325" s="380" t="s">
        <v>2</v>
      </c>
      <c r="E325" s="381"/>
      <c r="F325" s="381"/>
      <c r="G325" s="381"/>
      <c r="H325" s="381"/>
      <c r="I325" s="381"/>
      <c r="J325" s="381"/>
      <c r="K325" s="381"/>
      <c r="L325" s="421"/>
      <c r="M325" s="381" t="s">
        <v>2</v>
      </c>
      <c r="N325" s="381"/>
      <c r="O325" s="381"/>
      <c r="P325" s="381"/>
      <c r="Q325" s="381"/>
      <c r="R325" s="381"/>
      <c r="S325" s="381"/>
      <c r="T325" s="381"/>
      <c r="U325" s="381"/>
      <c r="V325" s="381"/>
      <c r="W325" s="381"/>
      <c r="X325" s="381"/>
    </row>
    <row r="326" spans="1:24" s="7" customFormat="1" ht="15.75">
      <c r="A326" s="76" t="s">
        <v>435</v>
      </c>
      <c r="B326" s="26" t="s">
        <v>37</v>
      </c>
      <c r="C326" s="256"/>
      <c r="D326" s="285">
        <f aca="true" t="shared" si="125" ref="D326:I326">SUM(D327:D330)</f>
        <v>165762.847</v>
      </c>
      <c r="E326" s="286">
        <f t="shared" si="125"/>
        <v>174858.347</v>
      </c>
      <c r="F326" s="360">
        <f t="shared" si="125"/>
        <v>9095.5</v>
      </c>
      <c r="G326" s="268">
        <f>SUM(G327:G330)</f>
        <v>22075.4</v>
      </c>
      <c r="H326" s="258">
        <f>SUM(H327:H330)</f>
        <v>23453.5</v>
      </c>
      <c r="I326" s="153">
        <f t="shared" si="125"/>
        <v>1378.0999999999995</v>
      </c>
      <c r="J326" s="259"/>
      <c r="K326" s="260"/>
      <c r="L326" s="351"/>
      <c r="M326" s="268">
        <f>SUM(M327:M330)</f>
        <v>22122.7</v>
      </c>
      <c r="N326" s="258">
        <f>SUM(N327:N330)</f>
        <v>25234</v>
      </c>
      <c r="O326" s="153">
        <f>SUM(O327:O330)</f>
        <v>3111.299999999999</v>
      </c>
      <c r="P326" s="259"/>
      <c r="Q326" s="260"/>
      <c r="R326" s="351"/>
      <c r="S326" s="268">
        <f>SUM(S327:S330)</f>
        <v>20095.2</v>
      </c>
      <c r="T326" s="258">
        <f>SUM(T327:T330)</f>
        <v>24701.300000000003</v>
      </c>
      <c r="U326" s="153">
        <f>SUM(U327:U330)</f>
        <v>4606.1</v>
      </c>
      <c r="V326" s="259"/>
      <c r="W326" s="260"/>
      <c r="X326" s="86"/>
    </row>
    <row r="327" spans="1:24" s="7" customFormat="1" ht="15" customHeight="1">
      <c r="A327" s="76" t="s">
        <v>436</v>
      </c>
      <c r="B327" s="9" t="s">
        <v>7</v>
      </c>
      <c r="C327" s="256"/>
      <c r="D327" s="238">
        <f aca="true" t="shared" si="126" ref="D327:I327">SUM(D333+D339)</f>
        <v>79738.816</v>
      </c>
      <c r="E327" s="239">
        <f t="shared" si="126"/>
        <v>84263.316</v>
      </c>
      <c r="F327" s="355">
        <f t="shared" si="126"/>
        <v>4524.5</v>
      </c>
      <c r="G327" s="272">
        <f>SUM(G333+G339)</f>
        <v>11910.2</v>
      </c>
      <c r="H327" s="239">
        <f>SUM(H333+H339)</f>
        <v>12220</v>
      </c>
      <c r="I327" s="140">
        <f t="shared" si="126"/>
        <v>309.8000000000002</v>
      </c>
      <c r="J327" s="253"/>
      <c r="K327" s="254"/>
      <c r="L327" s="338"/>
      <c r="M327" s="272">
        <f>SUM(M333+M339)</f>
        <v>11957.5</v>
      </c>
      <c r="N327" s="239">
        <f>SUM(N333+N339)</f>
        <v>13551.1</v>
      </c>
      <c r="O327" s="140">
        <f>SUM(O333+O339)</f>
        <v>1593.6</v>
      </c>
      <c r="P327" s="253"/>
      <c r="Q327" s="254"/>
      <c r="R327" s="338"/>
      <c r="S327" s="272">
        <f>SUM(S333+S339)</f>
        <v>9930</v>
      </c>
      <c r="T327" s="239">
        <f>SUM(T333+T339)</f>
        <v>12551.1</v>
      </c>
      <c r="U327" s="140">
        <f>SUM(U333+U339)</f>
        <v>2621.1</v>
      </c>
      <c r="V327" s="253"/>
      <c r="W327" s="254"/>
      <c r="X327" s="83"/>
    </row>
    <row r="328" spans="1:24" s="7" customFormat="1" ht="15" customHeight="1">
      <c r="A328" s="76" t="s">
        <v>437</v>
      </c>
      <c r="B328" s="9" t="s">
        <v>8</v>
      </c>
      <c r="C328" s="256"/>
      <c r="D328" s="238"/>
      <c r="E328" s="239"/>
      <c r="F328" s="358"/>
      <c r="G328" s="276"/>
      <c r="H328" s="252"/>
      <c r="I328" s="155"/>
      <c r="J328" s="253"/>
      <c r="K328" s="254"/>
      <c r="L328" s="341"/>
      <c r="M328" s="276"/>
      <c r="N328" s="252"/>
      <c r="O328" s="155"/>
      <c r="P328" s="253"/>
      <c r="Q328" s="254"/>
      <c r="R328" s="341"/>
      <c r="S328" s="276"/>
      <c r="T328" s="252"/>
      <c r="U328" s="155"/>
      <c r="V328" s="253"/>
      <c r="W328" s="254"/>
      <c r="X328" s="87"/>
    </row>
    <row r="329" spans="1:24" s="7" customFormat="1" ht="15" customHeight="1">
      <c r="A329" s="76" t="s">
        <v>438</v>
      </c>
      <c r="B329" s="9" t="s">
        <v>9</v>
      </c>
      <c r="C329" s="256"/>
      <c r="D329" s="238">
        <f aca="true" t="shared" si="127" ref="D329:I329">SUM(D341)</f>
        <v>86024.031</v>
      </c>
      <c r="E329" s="239">
        <f t="shared" si="127"/>
        <v>90595.031</v>
      </c>
      <c r="F329" s="358">
        <f t="shared" si="127"/>
        <v>4571</v>
      </c>
      <c r="G329" s="276">
        <f>SUM(G341)</f>
        <v>10165.2</v>
      </c>
      <c r="H329" s="252">
        <f>SUM(H341)</f>
        <v>11233.5</v>
      </c>
      <c r="I329" s="155">
        <f t="shared" si="127"/>
        <v>1068.2999999999993</v>
      </c>
      <c r="J329" s="253"/>
      <c r="K329" s="254"/>
      <c r="L329" s="341"/>
      <c r="M329" s="276">
        <f>SUM(M341)</f>
        <v>10165.2</v>
      </c>
      <c r="N329" s="252">
        <f>SUM(N341)</f>
        <v>11682.9</v>
      </c>
      <c r="O329" s="155">
        <f>SUM(O341)</f>
        <v>1517.699999999999</v>
      </c>
      <c r="P329" s="253"/>
      <c r="Q329" s="254"/>
      <c r="R329" s="341"/>
      <c r="S329" s="276">
        <f>SUM(S341)</f>
        <v>10165.2</v>
      </c>
      <c r="T329" s="252">
        <f>SUM(T341)</f>
        <v>12150.2</v>
      </c>
      <c r="U329" s="155">
        <f>SUM(U341)</f>
        <v>1985</v>
      </c>
      <c r="V329" s="253"/>
      <c r="W329" s="254"/>
      <c r="X329" s="87"/>
    </row>
    <row r="330" spans="1:24" s="7" customFormat="1" ht="15" customHeight="1">
      <c r="A330" s="76" t="s">
        <v>439</v>
      </c>
      <c r="B330" s="9" t="s">
        <v>10</v>
      </c>
      <c r="C330" s="256"/>
      <c r="D330" s="238"/>
      <c r="E330" s="239"/>
      <c r="F330" s="358"/>
      <c r="G330" s="276"/>
      <c r="H330" s="252"/>
      <c r="I330" s="155"/>
      <c r="J330" s="253"/>
      <c r="K330" s="254"/>
      <c r="L330" s="341"/>
      <c r="M330" s="276"/>
      <c r="N330" s="252"/>
      <c r="O330" s="155"/>
      <c r="P330" s="253"/>
      <c r="Q330" s="254"/>
      <c r="R330" s="341"/>
      <c r="S330" s="276"/>
      <c r="T330" s="252"/>
      <c r="U330" s="155"/>
      <c r="V330" s="253"/>
      <c r="W330" s="254"/>
      <c r="X330" s="87"/>
    </row>
    <row r="331" spans="1:24" s="7" customFormat="1" ht="15" customHeight="1">
      <c r="A331" s="128"/>
      <c r="B331" s="322"/>
      <c r="C331" s="302"/>
      <c r="D331" s="389" t="s">
        <v>11</v>
      </c>
      <c r="E331" s="390"/>
      <c r="F331" s="390"/>
      <c r="G331" s="390"/>
      <c r="H331" s="390"/>
      <c r="I331" s="390"/>
      <c r="J331" s="390"/>
      <c r="K331" s="390"/>
      <c r="L331" s="391"/>
      <c r="M331" s="400" t="s">
        <v>11</v>
      </c>
      <c r="N331" s="400"/>
      <c r="O331" s="400"/>
      <c r="P331" s="400"/>
      <c r="Q331" s="400"/>
      <c r="R331" s="400"/>
      <c r="S331" s="400"/>
      <c r="T331" s="400"/>
      <c r="U331" s="400"/>
      <c r="V331" s="400"/>
      <c r="W331" s="400"/>
      <c r="X331" s="400"/>
    </row>
    <row r="332" spans="1:24" s="7" customFormat="1" ht="35.25" customHeight="1">
      <c r="A332" s="76" t="s">
        <v>440</v>
      </c>
      <c r="B332" s="26" t="s">
        <v>32</v>
      </c>
      <c r="C332" s="256"/>
      <c r="D332" s="257"/>
      <c r="E332" s="258"/>
      <c r="F332" s="360"/>
      <c r="G332" s="268"/>
      <c r="H332" s="258"/>
      <c r="I332" s="153"/>
      <c r="J332" s="259"/>
      <c r="K332" s="260"/>
      <c r="L332" s="351"/>
      <c r="M332" s="268"/>
      <c r="N332" s="258"/>
      <c r="O332" s="153"/>
      <c r="P332" s="259"/>
      <c r="Q332" s="260"/>
      <c r="R332" s="351"/>
      <c r="S332" s="268"/>
      <c r="T332" s="258"/>
      <c r="U332" s="153"/>
      <c r="V332" s="259"/>
      <c r="W332" s="260"/>
      <c r="X332" s="86"/>
    </row>
    <row r="333" spans="1:24" s="7" customFormat="1" ht="15" customHeight="1">
      <c r="A333" s="76" t="s">
        <v>441</v>
      </c>
      <c r="B333" s="9" t="s">
        <v>7</v>
      </c>
      <c r="C333" s="256"/>
      <c r="D333" s="251"/>
      <c r="E333" s="252"/>
      <c r="F333" s="358"/>
      <c r="G333" s="276"/>
      <c r="H333" s="252"/>
      <c r="I333" s="155"/>
      <c r="J333" s="253"/>
      <c r="K333" s="254"/>
      <c r="L333" s="341"/>
      <c r="M333" s="276"/>
      <c r="N333" s="252"/>
      <c r="O333" s="155"/>
      <c r="P333" s="253"/>
      <c r="Q333" s="254"/>
      <c r="R333" s="341"/>
      <c r="S333" s="276"/>
      <c r="T333" s="252"/>
      <c r="U333" s="155"/>
      <c r="V333" s="253"/>
      <c r="W333" s="254"/>
      <c r="X333" s="87"/>
    </row>
    <row r="334" spans="1:24" s="7" customFormat="1" ht="15" customHeight="1">
      <c r="A334" s="129"/>
      <c r="B334" s="318"/>
      <c r="C334" s="319"/>
      <c r="D334" s="402" t="s">
        <v>12</v>
      </c>
      <c r="E334" s="403"/>
      <c r="F334" s="403"/>
      <c r="G334" s="403"/>
      <c r="H334" s="403"/>
      <c r="I334" s="403"/>
      <c r="J334" s="403"/>
      <c r="K334" s="403"/>
      <c r="L334" s="420"/>
      <c r="M334" s="403" t="s">
        <v>12</v>
      </c>
      <c r="N334" s="403"/>
      <c r="O334" s="403"/>
      <c r="P334" s="403"/>
      <c r="Q334" s="403"/>
      <c r="R334" s="403"/>
      <c r="S334" s="403"/>
      <c r="T334" s="403"/>
      <c r="U334" s="403"/>
      <c r="V334" s="403"/>
      <c r="W334" s="403"/>
      <c r="X334" s="403"/>
    </row>
    <row r="335" spans="1:24" s="7" customFormat="1" ht="48.75" customHeight="1">
      <c r="A335" s="76" t="s">
        <v>442</v>
      </c>
      <c r="B335" s="26" t="s">
        <v>101</v>
      </c>
      <c r="C335" s="256"/>
      <c r="D335" s="257"/>
      <c r="E335" s="258"/>
      <c r="F335" s="360"/>
      <c r="G335" s="268"/>
      <c r="H335" s="258"/>
      <c r="I335" s="153"/>
      <c r="J335" s="259"/>
      <c r="K335" s="260"/>
      <c r="L335" s="351"/>
      <c r="M335" s="268"/>
      <c r="N335" s="258"/>
      <c r="O335" s="153"/>
      <c r="P335" s="259"/>
      <c r="Q335" s="260"/>
      <c r="R335" s="351"/>
      <c r="S335" s="268"/>
      <c r="T335" s="258"/>
      <c r="U335" s="153"/>
      <c r="V335" s="259"/>
      <c r="W335" s="260"/>
      <c r="X335" s="86"/>
    </row>
    <row r="336" spans="1:24" s="7" customFormat="1" ht="15" customHeight="1">
      <c r="A336" s="76" t="s">
        <v>443</v>
      </c>
      <c r="B336" s="9" t="s">
        <v>7</v>
      </c>
      <c r="C336" s="256"/>
      <c r="D336" s="323"/>
      <c r="E336" s="324"/>
      <c r="F336" s="341"/>
      <c r="G336" s="276"/>
      <c r="H336" s="252"/>
      <c r="I336" s="87"/>
      <c r="J336" s="253"/>
      <c r="K336" s="254"/>
      <c r="L336" s="341"/>
      <c r="M336" s="276"/>
      <c r="N336" s="252"/>
      <c r="O336" s="155"/>
      <c r="P336" s="253"/>
      <c r="Q336" s="254"/>
      <c r="R336" s="341"/>
      <c r="S336" s="276"/>
      <c r="T336" s="252"/>
      <c r="U336" s="155"/>
      <c r="V336" s="253"/>
      <c r="W336" s="254"/>
      <c r="X336" s="87"/>
    </row>
    <row r="337" spans="1:24" s="7" customFormat="1" ht="15" customHeight="1">
      <c r="A337" s="126"/>
      <c r="B337" s="261"/>
      <c r="C337" s="262"/>
      <c r="D337" s="389" t="s">
        <v>15</v>
      </c>
      <c r="E337" s="390"/>
      <c r="F337" s="390"/>
      <c r="G337" s="390"/>
      <c r="H337" s="390"/>
      <c r="I337" s="390"/>
      <c r="J337" s="390"/>
      <c r="K337" s="390"/>
      <c r="L337" s="419"/>
      <c r="M337" s="390" t="s">
        <v>15</v>
      </c>
      <c r="N337" s="390"/>
      <c r="O337" s="390"/>
      <c r="P337" s="390"/>
      <c r="Q337" s="390"/>
      <c r="R337" s="390"/>
      <c r="S337" s="390"/>
      <c r="T337" s="390"/>
      <c r="U337" s="390"/>
      <c r="V337" s="390"/>
      <c r="W337" s="390"/>
      <c r="X337" s="390"/>
    </row>
    <row r="338" spans="1:24" s="7" customFormat="1" ht="31.5">
      <c r="A338" s="76" t="s">
        <v>444</v>
      </c>
      <c r="B338" s="26" t="s">
        <v>16</v>
      </c>
      <c r="C338" s="256"/>
      <c r="D338" s="285">
        <f aca="true" t="shared" si="128" ref="D338:I338">SUM(D339:D341)</f>
        <v>165762.847</v>
      </c>
      <c r="E338" s="286">
        <f t="shared" si="128"/>
        <v>174858.347</v>
      </c>
      <c r="F338" s="360">
        <f t="shared" si="128"/>
        <v>9095.5</v>
      </c>
      <c r="G338" s="264">
        <f>SUM(G339:G341)</f>
        <v>22075.4</v>
      </c>
      <c r="H338" s="286">
        <f>SUM(H339:H341)</f>
        <v>23453.5</v>
      </c>
      <c r="I338" s="153">
        <f t="shared" si="128"/>
        <v>1378.0999999999995</v>
      </c>
      <c r="J338" s="288"/>
      <c r="K338" s="289"/>
      <c r="L338" s="343"/>
      <c r="M338" s="264">
        <f>SUM(M339:M341)</f>
        <v>22122.7</v>
      </c>
      <c r="N338" s="286">
        <f>SUM(N339:N341)</f>
        <v>25234</v>
      </c>
      <c r="O338" s="143">
        <f>SUM(O339:O341)</f>
        <v>3111.299999999999</v>
      </c>
      <c r="P338" s="288"/>
      <c r="Q338" s="289"/>
      <c r="R338" s="343"/>
      <c r="S338" s="264">
        <f>SUM(S339:S341)</f>
        <v>20095.2</v>
      </c>
      <c r="T338" s="286">
        <f>SUM(T339:T341)</f>
        <v>24701.300000000003</v>
      </c>
      <c r="U338" s="143">
        <f>SUM(U339:U341)</f>
        <v>4606.1</v>
      </c>
      <c r="V338" s="288"/>
      <c r="W338" s="289"/>
      <c r="X338" s="85"/>
    </row>
    <row r="339" spans="1:24" s="7" customFormat="1" ht="15" customHeight="1">
      <c r="A339" s="76" t="s">
        <v>445</v>
      </c>
      <c r="B339" s="9" t="s">
        <v>7</v>
      </c>
      <c r="C339" s="256"/>
      <c r="D339" s="238">
        <f aca="true" t="shared" si="129" ref="D339:I339">SUM(D344+D348+D351+D355)</f>
        <v>79738.816</v>
      </c>
      <c r="E339" s="239">
        <f t="shared" si="129"/>
        <v>84263.316</v>
      </c>
      <c r="F339" s="358">
        <f t="shared" si="129"/>
        <v>4524.5</v>
      </c>
      <c r="G339" s="272">
        <f>SUM(G344+G348+G351+G355)</f>
        <v>11910.2</v>
      </c>
      <c r="H339" s="239">
        <f>SUM(H344+H348+H351+H355)</f>
        <v>12220</v>
      </c>
      <c r="I339" s="155">
        <f t="shared" si="129"/>
        <v>309.8000000000002</v>
      </c>
      <c r="J339" s="240"/>
      <c r="K339" s="241"/>
      <c r="L339" s="338"/>
      <c r="M339" s="272">
        <f>SUM(M344+M348+M351+M355)</f>
        <v>11957.5</v>
      </c>
      <c r="N339" s="239">
        <f>SUM(N344+N348+N351+N355)</f>
        <v>13551.1</v>
      </c>
      <c r="O339" s="140">
        <f>SUM(O344+O348+O351+O355)</f>
        <v>1593.6</v>
      </c>
      <c r="P339" s="240"/>
      <c r="Q339" s="241"/>
      <c r="R339" s="338"/>
      <c r="S339" s="272">
        <f>SUM(S344+S348+S351+S355)</f>
        <v>9930</v>
      </c>
      <c r="T339" s="239">
        <f>SUM(T344+T348+T351+T355)</f>
        <v>12551.1</v>
      </c>
      <c r="U339" s="140">
        <f>SUM(U344+U348+U351+U355)</f>
        <v>2621.1</v>
      </c>
      <c r="V339" s="240"/>
      <c r="W339" s="241"/>
      <c r="X339" s="83"/>
    </row>
    <row r="340" spans="1:24" s="7" customFormat="1" ht="15" customHeight="1">
      <c r="A340" s="76" t="s">
        <v>446</v>
      </c>
      <c r="B340" s="9" t="s">
        <v>8</v>
      </c>
      <c r="C340" s="256"/>
      <c r="D340" s="238"/>
      <c r="E340" s="239"/>
      <c r="F340" s="358"/>
      <c r="G340" s="272"/>
      <c r="H340" s="239"/>
      <c r="I340" s="155"/>
      <c r="J340" s="240"/>
      <c r="K340" s="241"/>
      <c r="L340" s="338"/>
      <c r="M340" s="272"/>
      <c r="N340" s="239"/>
      <c r="O340" s="140"/>
      <c r="P340" s="240"/>
      <c r="Q340" s="241"/>
      <c r="R340" s="338"/>
      <c r="S340" s="272"/>
      <c r="T340" s="239"/>
      <c r="U340" s="140"/>
      <c r="V340" s="240"/>
      <c r="W340" s="241"/>
      <c r="X340" s="83"/>
    </row>
    <row r="341" spans="1:24" s="7" customFormat="1" ht="15" customHeight="1">
      <c r="A341" s="76" t="s">
        <v>447</v>
      </c>
      <c r="B341" s="9" t="s">
        <v>9</v>
      </c>
      <c r="C341" s="256"/>
      <c r="D341" s="238">
        <f aca="true" t="shared" si="130" ref="D341:I341">SUM(D352+D345+D356)</f>
        <v>86024.031</v>
      </c>
      <c r="E341" s="239">
        <f t="shared" si="130"/>
        <v>90595.031</v>
      </c>
      <c r="F341" s="355">
        <f t="shared" si="130"/>
        <v>4571</v>
      </c>
      <c r="G341" s="272">
        <f>SUM(G352+G345+G356)</f>
        <v>10165.2</v>
      </c>
      <c r="H341" s="239">
        <f>SUM(H352+H345+H356)</f>
        <v>11233.5</v>
      </c>
      <c r="I341" s="140">
        <f t="shared" si="130"/>
        <v>1068.2999999999993</v>
      </c>
      <c r="J341" s="240"/>
      <c r="K341" s="325"/>
      <c r="L341" s="338"/>
      <c r="M341" s="272">
        <f>SUM(M352+M345+M356)</f>
        <v>10165.2</v>
      </c>
      <c r="N341" s="239">
        <f>SUM(N352+N345+N356)</f>
        <v>11682.9</v>
      </c>
      <c r="O341" s="140">
        <f>SUM(O352+O345+O356)</f>
        <v>1517.699999999999</v>
      </c>
      <c r="P341" s="240"/>
      <c r="Q341" s="325"/>
      <c r="R341" s="338"/>
      <c r="S341" s="272">
        <f>SUM(S352+S345+S356)</f>
        <v>10165.2</v>
      </c>
      <c r="T341" s="239">
        <f>SUM(T352+T345+T356)</f>
        <v>12150.2</v>
      </c>
      <c r="U341" s="140">
        <f>SUM(U352+U345+U356)</f>
        <v>1985</v>
      </c>
      <c r="V341" s="240"/>
      <c r="W341" s="325"/>
      <c r="X341" s="83"/>
    </row>
    <row r="342" spans="1:24" s="7" customFormat="1" ht="15" customHeight="1">
      <c r="A342" s="76"/>
      <c r="B342" s="9"/>
      <c r="C342" s="256"/>
      <c r="D342" s="238"/>
      <c r="E342" s="239"/>
      <c r="F342" s="358"/>
      <c r="G342" s="272"/>
      <c r="H342" s="239"/>
      <c r="I342" s="155"/>
      <c r="J342" s="240"/>
      <c r="K342" s="241"/>
      <c r="L342" s="338"/>
      <c r="M342" s="272"/>
      <c r="N342" s="239"/>
      <c r="O342" s="140"/>
      <c r="P342" s="240"/>
      <c r="Q342" s="241"/>
      <c r="R342" s="338"/>
      <c r="S342" s="272"/>
      <c r="T342" s="239"/>
      <c r="U342" s="140"/>
      <c r="V342" s="240"/>
      <c r="W342" s="241"/>
      <c r="X342" s="83"/>
    </row>
    <row r="343" spans="1:24" s="7" customFormat="1" ht="96.75" customHeight="1">
      <c r="A343" s="76" t="s">
        <v>448</v>
      </c>
      <c r="B343" s="26" t="s">
        <v>33</v>
      </c>
      <c r="C343" s="305" t="s">
        <v>628</v>
      </c>
      <c r="D343" s="285">
        <f aca="true" t="shared" si="131" ref="D343:I343">SUM(D344:D345)</f>
        <v>28654.7</v>
      </c>
      <c r="E343" s="286">
        <f t="shared" si="131"/>
        <v>29154.7</v>
      </c>
      <c r="F343" s="360">
        <f t="shared" si="131"/>
        <v>500</v>
      </c>
      <c r="G343" s="264">
        <f>SUM(G344:G345)</f>
        <v>2000</v>
      </c>
      <c r="H343" s="286">
        <f>SUM(H344:H345)</f>
        <v>2000</v>
      </c>
      <c r="I343" s="153">
        <f t="shared" si="131"/>
        <v>0</v>
      </c>
      <c r="J343" s="281" t="s">
        <v>630</v>
      </c>
      <c r="K343" s="282" t="s">
        <v>630</v>
      </c>
      <c r="L343" s="344" t="s">
        <v>629</v>
      </c>
      <c r="M343" s="264">
        <f>SUM(M344:M345)</f>
        <v>2000</v>
      </c>
      <c r="N343" s="286">
        <f>SUM(N344:N345)</f>
        <v>2500</v>
      </c>
      <c r="O343" s="143">
        <f>SUM(O344:O345)</f>
        <v>500</v>
      </c>
      <c r="P343" s="281" t="s">
        <v>631</v>
      </c>
      <c r="Q343" s="282" t="s">
        <v>631</v>
      </c>
      <c r="R343" s="344" t="s">
        <v>629</v>
      </c>
      <c r="S343" s="264">
        <f>SUM(S344:S345)</f>
        <v>2000</v>
      </c>
      <c r="T343" s="286">
        <f>SUM(T344:T345)</f>
        <v>2000</v>
      </c>
      <c r="U343" s="143">
        <f>SUM(U344:U345)</f>
        <v>0</v>
      </c>
      <c r="V343" s="281" t="s">
        <v>631</v>
      </c>
      <c r="W343" s="282" t="s">
        <v>631</v>
      </c>
      <c r="X343" s="283" t="s">
        <v>629</v>
      </c>
    </row>
    <row r="344" spans="1:24" s="7" customFormat="1" ht="15" customHeight="1">
      <c r="A344" s="76" t="s">
        <v>449</v>
      </c>
      <c r="B344" s="9" t="s">
        <v>7</v>
      </c>
      <c r="C344" s="256"/>
      <c r="D344" s="238">
        <f>16443.4+1048.3</f>
        <v>17491.7</v>
      </c>
      <c r="E344" s="239">
        <v>17991.7</v>
      </c>
      <c r="F344" s="355">
        <f>E344-D344</f>
        <v>500</v>
      </c>
      <c r="G344" s="272">
        <v>2000</v>
      </c>
      <c r="H344" s="239">
        <v>2000</v>
      </c>
      <c r="I344" s="140">
        <f>H344-G344</f>
        <v>0</v>
      </c>
      <c r="J344" s="240"/>
      <c r="K344" s="241"/>
      <c r="L344" s="338"/>
      <c r="M344" s="272">
        <v>2000</v>
      </c>
      <c r="N344" s="239">
        <v>2500</v>
      </c>
      <c r="O344" s="140">
        <f>N344-M344</f>
        <v>500</v>
      </c>
      <c r="P344" s="240"/>
      <c r="Q344" s="241"/>
      <c r="R344" s="338"/>
      <c r="S344" s="272">
        <v>2000</v>
      </c>
      <c r="T344" s="239">
        <v>2000</v>
      </c>
      <c r="U344" s="140">
        <f>T344-S344</f>
        <v>0</v>
      </c>
      <c r="V344" s="240"/>
      <c r="W344" s="241"/>
      <c r="X344" s="83"/>
    </row>
    <row r="345" spans="1:24" s="7" customFormat="1" ht="15" customHeight="1">
      <c r="A345" s="76" t="s">
        <v>450</v>
      </c>
      <c r="B345" s="10" t="s">
        <v>9</v>
      </c>
      <c r="C345" s="256"/>
      <c r="D345" s="238">
        <f>8114.7+3048.3</f>
        <v>11163</v>
      </c>
      <c r="E345" s="239">
        <f>8114.7+3048.3</f>
        <v>11163</v>
      </c>
      <c r="F345" s="358">
        <f>E345-D345</f>
        <v>0</v>
      </c>
      <c r="G345" s="272"/>
      <c r="H345" s="239"/>
      <c r="I345" s="155">
        <f>H345-G345</f>
        <v>0</v>
      </c>
      <c r="J345" s="240"/>
      <c r="K345" s="241"/>
      <c r="L345" s="338"/>
      <c r="M345" s="272"/>
      <c r="N345" s="239"/>
      <c r="O345" s="140">
        <f>N345-M345</f>
        <v>0</v>
      </c>
      <c r="P345" s="240"/>
      <c r="Q345" s="241"/>
      <c r="R345" s="338"/>
      <c r="S345" s="272"/>
      <c r="T345" s="239"/>
      <c r="U345" s="140">
        <f>T345-S345</f>
        <v>0</v>
      </c>
      <c r="V345" s="240"/>
      <c r="W345" s="241"/>
      <c r="X345" s="83"/>
    </row>
    <row r="346" spans="1:24" s="7" customFormat="1" ht="15" customHeight="1">
      <c r="A346" s="76"/>
      <c r="B346" s="10"/>
      <c r="C346" s="256"/>
      <c r="D346" s="251"/>
      <c r="E346" s="252"/>
      <c r="F346" s="358"/>
      <c r="G346" s="272"/>
      <c r="H346" s="239"/>
      <c r="I346" s="155"/>
      <c r="J346" s="240"/>
      <c r="K346" s="241"/>
      <c r="L346" s="338"/>
      <c r="M346" s="272"/>
      <c r="N346" s="239"/>
      <c r="O346" s="140"/>
      <c r="P346" s="240"/>
      <c r="Q346" s="241"/>
      <c r="R346" s="338"/>
      <c r="S346" s="272"/>
      <c r="T346" s="239"/>
      <c r="U346" s="140"/>
      <c r="V346" s="240"/>
      <c r="W346" s="241"/>
      <c r="X346" s="83"/>
    </row>
    <row r="347" spans="1:24" s="7" customFormat="1" ht="126" customHeight="1">
      <c r="A347" s="76" t="s">
        <v>451</v>
      </c>
      <c r="B347" s="26" t="s">
        <v>38</v>
      </c>
      <c r="C347" s="305" t="s">
        <v>632</v>
      </c>
      <c r="D347" s="285">
        <f aca="true" t="shared" si="132" ref="D347:I347">SUM(D348:D348)</f>
        <v>13208.3</v>
      </c>
      <c r="E347" s="286">
        <f t="shared" si="132"/>
        <v>13708.3</v>
      </c>
      <c r="F347" s="360">
        <f t="shared" si="132"/>
        <v>500</v>
      </c>
      <c r="G347" s="264">
        <f>SUM(G348:G348)</f>
        <v>2000</v>
      </c>
      <c r="H347" s="286">
        <f>SUM(H348:H348)</f>
        <v>2000</v>
      </c>
      <c r="I347" s="153">
        <f t="shared" si="132"/>
        <v>0</v>
      </c>
      <c r="J347" s="281" t="s">
        <v>712</v>
      </c>
      <c r="K347" s="282" t="s">
        <v>712</v>
      </c>
      <c r="L347" s="344" t="s">
        <v>633</v>
      </c>
      <c r="M347" s="264">
        <f>SUM(M348:M348)</f>
        <v>2000</v>
      </c>
      <c r="N347" s="286">
        <f>SUM(N348:N348)</f>
        <v>2500</v>
      </c>
      <c r="O347" s="143">
        <f>SUM(O348:O348)</f>
        <v>500</v>
      </c>
      <c r="P347" s="281" t="s">
        <v>713</v>
      </c>
      <c r="Q347" s="282" t="s">
        <v>713</v>
      </c>
      <c r="R347" s="344" t="s">
        <v>633</v>
      </c>
      <c r="S347" s="264">
        <f>SUM(S348:S348)</f>
        <v>2000</v>
      </c>
      <c r="T347" s="286">
        <f>SUM(T348:T348)</f>
        <v>2000</v>
      </c>
      <c r="U347" s="143">
        <f>SUM(U348:U348)</f>
        <v>0</v>
      </c>
      <c r="V347" s="281" t="s">
        <v>714</v>
      </c>
      <c r="W347" s="282" t="s">
        <v>714</v>
      </c>
      <c r="X347" s="283" t="s">
        <v>633</v>
      </c>
    </row>
    <row r="348" spans="1:24" s="7" customFormat="1" ht="15" customHeight="1">
      <c r="A348" s="76" t="s">
        <v>452</v>
      </c>
      <c r="B348" s="9" t="s">
        <v>7</v>
      </c>
      <c r="C348" s="256"/>
      <c r="D348" s="238">
        <v>13208.3</v>
      </c>
      <c r="E348" s="239">
        <v>13708.3</v>
      </c>
      <c r="F348" s="358">
        <f>E348-D348</f>
        <v>500</v>
      </c>
      <c r="G348" s="272">
        <v>2000</v>
      </c>
      <c r="H348" s="239">
        <v>2000</v>
      </c>
      <c r="I348" s="155">
        <f>H348-G348</f>
        <v>0</v>
      </c>
      <c r="J348" s="240"/>
      <c r="K348" s="241"/>
      <c r="L348" s="338"/>
      <c r="M348" s="272">
        <v>2000</v>
      </c>
      <c r="N348" s="239">
        <v>2500</v>
      </c>
      <c r="O348" s="140">
        <f>N348-M348</f>
        <v>500</v>
      </c>
      <c r="P348" s="240"/>
      <c r="Q348" s="241"/>
      <c r="R348" s="338"/>
      <c r="S348" s="272">
        <v>2000</v>
      </c>
      <c r="T348" s="239">
        <v>2000</v>
      </c>
      <c r="U348" s="140">
        <f>T348-S348</f>
        <v>0</v>
      </c>
      <c r="V348" s="240"/>
      <c r="W348" s="241"/>
      <c r="X348" s="83"/>
    </row>
    <row r="349" spans="1:24" s="7" customFormat="1" ht="15" customHeight="1">
      <c r="A349" s="76"/>
      <c r="B349" s="9"/>
      <c r="C349" s="256"/>
      <c r="D349" s="251"/>
      <c r="E349" s="252"/>
      <c r="F349" s="358"/>
      <c r="G349" s="272"/>
      <c r="H349" s="239"/>
      <c r="I349" s="155"/>
      <c r="J349" s="240"/>
      <c r="K349" s="241"/>
      <c r="L349" s="338"/>
      <c r="M349" s="272"/>
      <c r="N349" s="239"/>
      <c r="O349" s="140"/>
      <c r="P349" s="240"/>
      <c r="Q349" s="241"/>
      <c r="R349" s="338"/>
      <c r="S349" s="272"/>
      <c r="T349" s="239"/>
      <c r="U349" s="140"/>
      <c r="V349" s="240"/>
      <c r="W349" s="241"/>
      <c r="X349" s="83"/>
    </row>
    <row r="350" spans="1:24" s="7" customFormat="1" ht="91.5" customHeight="1">
      <c r="A350" s="76" t="s">
        <v>453</v>
      </c>
      <c r="B350" s="26" t="s">
        <v>34</v>
      </c>
      <c r="C350" s="280" t="s">
        <v>634</v>
      </c>
      <c r="D350" s="285">
        <f aca="true" t="shared" si="133" ref="D350:I350">SUM(D351:D352)</f>
        <v>107915.026</v>
      </c>
      <c r="E350" s="286">
        <f t="shared" si="133"/>
        <v>114146.026</v>
      </c>
      <c r="F350" s="360">
        <f t="shared" si="133"/>
        <v>6231</v>
      </c>
      <c r="G350" s="264">
        <f>SUM(G351:G352)</f>
        <v>15665.2</v>
      </c>
      <c r="H350" s="286">
        <f>SUM(H351:H352)</f>
        <v>16953.5</v>
      </c>
      <c r="I350" s="153">
        <f t="shared" si="133"/>
        <v>1288.2999999999993</v>
      </c>
      <c r="J350" s="281" t="s">
        <v>635</v>
      </c>
      <c r="K350" s="282" t="s">
        <v>636</v>
      </c>
      <c r="L350" s="344" t="s">
        <v>637</v>
      </c>
      <c r="M350" s="264">
        <f>SUM(M351:M352)</f>
        <v>15665.2</v>
      </c>
      <c r="N350" s="286">
        <f>SUM(N351:N352)</f>
        <v>17402.9</v>
      </c>
      <c r="O350" s="143">
        <f>SUM(O351:O352)</f>
        <v>1737.699999999999</v>
      </c>
      <c r="P350" s="281" t="s">
        <v>638</v>
      </c>
      <c r="Q350" s="282" t="s">
        <v>715</v>
      </c>
      <c r="R350" s="344" t="s">
        <v>637</v>
      </c>
      <c r="S350" s="264">
        <f>SUM(S351:S352)</f>
        <v>14665.2</v>
      </c>
      <c r="T350" s="286">
        <f>SUM(T351:T352)</f>
        <v>17870.2</v>
      </c>
      <c r="U350" s="143">
        <f>SUM(U351:U352)</f>
        <v>3205</v>
      </c>
      <c r="V350" s="281" t="s">
        <v>638</v>
      </c>
      <c r="W350" s="282" t="s">
        <v>715</v>
      </c>
      <c r="X350" s="283" t="s">
        <v>639</v>
      </c>
    </row>
    <row r="351" spans="1:24" s="13" customFormat="1" ht="15" customHeight="1">
      <c r="A351" s="76" t="s">
        <v>454</v>
      </c>
      <c r="B351" s="22" t="s">
        <v>7</v>
      </c>
      <c r="C351" s="284"/>
      <c r="D351" s="238">
        <v>34592.326</v>
      </c>
      <c r="E351" s="239">
        <v>36252.326</v>
      </c>
      <c r="F351" s="355">
        <f>E351-D351</f>
        <v>1660</v>
      </c>
      <c r="G351" s="272">
        <v>5500</v>
      </c>
      <c r="H351" s="239">
        <v>5720</v>
      </c>
      <c r="I351" s="140">
        <f>H351-G351</f>
        <v>220</v>
      </c>
      <c r="J351" s="240"/>
      <c r="K351" s="241"/>
      <c r="L351" s="338"/>
      <c r="M351" s="272">
        <v>5500</v>
      </c>
      <c r="N351" s="239">
        <v>5720</v>
      </c>
      <c r="O351" s="140">
        <f>N351-M351</f>
        <v>220</v>
      </c>
      <c r="P351" s="240"/>
      <c r="Q351" s="241"/>
      <c r="R351" s="338"/>
      <c r="S351" s="272">
        <v>4500</v>
      </c>
      <c r="T351" s="239">
        <v>5720</v>
      </c>
      <c r="U351" s="140">
        <f>T351-S351</f>
        <v>1220</v>
      </c>
      <c r="V351" s="240"/>
      <c r="W351" s="241"/>
      <c r="X351" s="83"/>
    </row>
    <row r="352" spans="1:24" s="13" customFormat="1" ht="15" customHeight="1">
      <c r="A352" s="76" t="s">
        <v>455</v>
      </c>
      <c r="B352" s="22" t="s">
        <v>9</v>
      </c>
      <c r="C352" s="284"/>
      <c r="D352" s="238">
        <v>73322.7</v>
      </c>
      <c r="E352" s="239">
        <v>77893.7</v>
      </c>
      <c r="F352" s="355">
        <f>E352-D352</f>
        <v>4571</v>
      </c>
      <c r="G352" s="272">
        <v>10165.2</v>
      </c>
      <c r="H352" s="239">
        <v>11233.5</v>
      </c>
      <c r="I352" s="140">
        <f>H352-G352</f>
        <v>1068.2999999999993</v>
      </c>
      <c r="J352" s="240"/>
      <c r="K352" s="241"/>
      <c r="L352" s="338"/>
      <c r="M352" s="272">
        <v>10165.2</v>
      </c>
      <c r="N352" s="239">
        <v>11682.9</v>
      </c>
      <c r="O352" s="140">
        <f>N352-M352</f>
        <v>1517.699999999999</v>
      </c>
      <c r="P352" s="240"/>
      <c r="Q352" s="241"/>
      <c r="R352" s="338"/>
      <c r="S352" s="272">
        <v>10165.2</v>
      </c>
      <c r="T352" s="239">
        <v>12150.2</v>
      </c>
      <c r="U352" s="140">
        <f>T352-S352</f>
        <v>1985</v>
      </c>
      <c r="V352" s="240"/>
      <c r="W352" s="241"/>
      <c r="X352" s="83"/>
    </row>
    <row r="353" spans="1:24" s="7" customFormat="1" ht="15" customHeight="1">
      <c r="A353" s="76"/>
      <c r="B353" s="9"/>
      <c r="C353" s="256"/>
      <c r="D353" s="238"/>
      <c r="E353" s="239"/>
      <c r="F353" s="355"/>
      <c r="G353" s="272"/>
      <c r="H353" s="239"/>
      <c r="I353" s="140"/>
      <c r="J353" s="240"/>
      <c r="K353" s="241"/>
      <c r="L353" s="338"/>
      <c r="M353" s="272"/>
      <c r="N353" s="239"/>
      <c r="O353" s="140"/>
      <c r="P353" s="240"/>
      <c r="Q353" s="241"/>
      <c r="R353" s="338"/>
      <c r="S353" s="272"/>
      <c r="T353" s="239"/>
      <c r="U353" s="140"/>
      <c r="V353" s="240"/>
      <c r="W353" s="241"/>
      <c r="X353" s="83"/>
    </row>
    <row r="354" spans="1:24" s="7" customFormat="1" ht="82.5" customHeight="1">
      <c r="A354" s="76" t="s">
        <v>456</v>
      </c>
      <c r="B354" s="26" t="s">
        <v>640</v>
      </c>
      <c r="C354" s="305" t="s">
        <v>628</v>
      </c>
      <c r="D354" s="285">
        <f aca="true" t="shared" si="134" ref="D354:I354">SUM(D355:D356)</f>
        <v>15984.821</v>
      </c>
      <c r="E354" s="286">
        <f t="shared" si="134"/>
        <v>17849.321</v>
      </c>
      <c r="F354" s="360">
        <f t="shared" si="134"/>
        <v>1864.5</v>
      </c>
      <c r="G354" s="264">
        <f>SUM(G355:G356)</f>
        <v>2410.2</v>
      </c>
      <c r="H354" s="286">
        <f>SUM(H355:H356)</f>
        <v>2500</v>
      </c>
      <c r="I354" s="153">
        <f t="shared" si="134"/>
        <v>89.80000000000018</v>
      </c>
      <c r="J354" s="281" t="s">
        <v>642</v>
      </c>
      <c r="K354" s="282" t="s">
        <v>642</v>
      </c>
      <c r="L354" s="344" t="s">
        <v>641</v>
      </c>
      <c r="M354" s="264">
        <f>SUM(M355:M356)</f>
        <v>2457.5</v>
      </c>
      <c r="N354" s="286">
        <f>SUM(N355:N356)</f>
        <v>2831.1</v>
      </c>
      <c r="O354" s="143">
        <f>SUM(O355:O356)</f>
        <v>373.5999999999999</v>
      </c>
      <c r="P354" s="306" t="s">
        <v>643</v>
      </c>
      <c r="Q354" s="307" t="s">
        <v>643</v>
      </c>
      <c r="R354" s="346" t="s">
        <v>641</v>
      </c>
      <c r="S354" s="264">
        <f>SUM(S355:S356)</f>
        <v>1430</v>
      </c>
      <c r="T354" s="286">
        <f>SUM(T355:T356)</f>
        <v>2831.1</v>
      </c>
      <c r="U354" s="143">
        <f>SUM(U355:U356)</f>
        <v>1401.1</v>
      </c>
      <c r="V354" s="306" t="s">
        <v>643</v>
      </c>
      <c r="W354" s="307" t="s">
        <v>643</v>
      </c>
      <c r="X354" s="308" t="s">
        <v>641</v>
      </c>
    </row>
    <row r="355" spans="1:24" s="7" customFormat="1" ht="15" customHeight="1">
      <c r="A355" s="76" t="s">
        <v>457</v>
      </c>
      <c r="B355" s="9" t="s">
        <v>7</v>
      </c>
      <c r="C355" s="256"/>
      <c r="D355" s="238">
        <v>14446.49</v>
      </c>
      <c r="E355" s="239">
        <v>16310.99</v>
      </c>
      <c r="F355" s="358">
        <f>E355-D355</f>
        <v>1864.5</v>
      </c>
      <c r="G355" s="276">
        <v>2410.2</v>
      </c>
      <c r="H355" s="252">
        <v>2500</v>
      </c>
      <c r="I355" s="155">
        <f>H355-G355</f>
        <v>89.80000000000018</v>
      </c>
      <c r="J355" s="253"/>
      <c r="K355" s="254"/>
      <c r="L355" s="341"/>
      <c r="M355" s="276">
        <v>2457.5</v>
      </c>
      <c r="N355" s="252">
        <v>2831.1</v>
      </c>
      <c r="O355" s="155">
        <f>N355-M355</f>
        <v>373.5999999999999</v>
      </c>
      <c r="P355" s="253"/>
      <c r="Q355" s="254"/>
      <c r="R355" s="341"/>
      <c r="S355" s="276">
        <v>1430</v>
      </c>
      <c r="T355" s="252">
        <v>2831.1</v>
      </c>
      <c r="U355" s="155">
        <f>T355-S355</f>
        <v>1401.1</v>
      </c>
      <c r="V355" s="253"/>
      <c r="W355" s="254"/>
      <c r="X355" s="87"/>
    </row>
    <row r="356" spans="1:24" s="7" customFormat="1" ht="15" customHeight="1">
      <c r="A356" s="76" t="s">
        <v>458</v>
      </c>
      <c r="B356" s="9" t="s">
        <v>9</v>
      </c>
      <c r="C356" s="256"/>
      <c r="D356" s="238">
        <v>1538.331</v>
      </c>
      <c r="E356" s="239">
        <v>1538.331</v>
      </c>
      <c r="F356" s="358">
        <f>E356-D356</f>
        <v>0</v>
      </c>
      <c r="G356" s="276"/>
      <c r="H356" s="252"/>
      <c r="I356" s="155">
        <f>H356-G356</f>
        <v>0</v>
      </c>
      <c r="J356" s="253"/>
      <c r="K356" s="254"/>
      <c r="L356" s="341"/>
      <c r="M356" s="276"/>
      <c r="N356" s="252"/>
      <c r="O356" s="155">
        <f>N356-M356</f>
        <v>0</v>
      </c>
      <c r="P356" s="253"/>
      <c r="Q356" s="254"/>
      <c r="R356" s="341"/>
      <c r="S356" s="276"/>
      <c r="T356" s="252"/>
      <c r="U356" s="155">
        <f>T356-S356</f>
        <v>0</v>
      </c>
      <c r="V356" s="253"/>
      <c r="W356" s="254"/>
      <c r="X356" s="87"/>
    </row>
    <row r="357" spans="1:24" s="7" customFormat="1" ht="15" customHeight="1">
      <c r="A357" s="77"/>
      <c r="B357" s="9"/>
      <c r="C357" s="237"/>
      <c r="D357" s="251"/>
      <c r="E357" s="252"/>
      <c r="F357" s="358"/>
      <c r="G357" s="276"/>
      <c r="H357" s="252"/>
      <c r="I357" s="155"/>
      <c r="J357" s="253"/>
      <c r="K357" s="254"/>
      <c r="L357" s="341"/>
      <c r="M357" s="276"/>
      <c r="N357" s="252"/>
      <c r="O357" s="155"/>
      <c r="P357" s="253"/>
      <c r="Q357" s="254"/>
      <c r="R357" s="341"/>
      <c r="S357" s="276"/>
      <c r="T357" s="252"/>
      <c r="U357" s="155"/>
      <c r="V357" s="253"/>
      <c r="W357" s="254"/>
      <c r="X357" s="87"/>
    </row>
    <row r="358" spans="1:24" s="6" customFormat="1" ht="30.75" customHeight="1">
      <c r="A358" s="125"/>
      <c r="B358" s="255"/>
      <c r="C358" s="301"/>
      <c r="D358" s="380" t="s">
        <v>57</v>
      </c>
      <c r="E358" s="381"/>
      <c r="F358" s="381"/>
      <c r="G358" s="381"/>
      <c r="H358" s="381"/>
      <c r="I358" s="381"/>
      <c r="J358" s="381"/>
      <c r="K358" s="381"/>
      <c r="L358" s="421"/>
      <c r="M358" s="381" t="s">
        <v>57</v>
      </c>
      <c r="N358" s="381"/>
      <c r="O358" s="381"/>
      <c r="P358" s="381"/>
      <c r="Q358" s="381"/>
      <c r="R358" s="381"/>
      <c r="S358" s="381"/>
      <c r="T358" s="381"/>
      <c r="U358" s="381"/>
      <c r="V358" s="381"/>
      <c r="W358" s="381"/>
      <c r="X358" s="381"/>
    </row>
    <row r="359" spans="1:24" s="7" customFormat="1" ht="15.75">
      <c r="A359" s="76" t="s">
        <v>459</v>
      </c>
      <c r="B359" s="26" t="s">
        <v>40</v>
      </c>
      <c r="C359" s="237"/>
      <c r="D359" s="285">
        <f aca="true" t="shared" si="135" ref="D359:I359">SUM(D360:D362)</f>
        <v>227707.32069</v>
      </c>
      <c r="E359" s="286">
        <f t="shared" si="135"/>
        <v>230465.42069</v>
      </c>
      <c r="F359" s="360">
        <f t="shared" si="135"/>
        <v>2758.100000000006</v>
      </c>
      <c r="G359" s="268">
        <f>SUM(G360:G362)</f>
        <v>34141.6</v>
      </c>
      <c r="H359" s="258">
        <f>SUM(H360:H362)</f>
        <v>33586</v>
      </c>
      <c r="I359" s="153">
        <f t="shared" si="135"/>
        <v>-555.6000000000013</v>
      </c>
      <c r="J359" s="259"/>
      <c r="K359" s="260"/>
      <c r="L359" s="351"/>
      <c r="M359" s="268">
        <f>SUM(M360:M362)</f>
        <v>34976.1</v>
      </c>
      <c r="N359" s="258">
        <f>SUM(N360:N362)</f>
        <v>36059.8</v>
      </c>
      <c r="O359" s="153">
        <f>SUM(O360:O362)</f>
        <v>1083.7000000000012</v>
      </c>
      <c r="P359" s="259"/>
      <c r="Q359" s="260"/>
      <c r="R359" s="351"/>
      <c r="S359" s="268">
        <f>SUM(S360:S362)</f>
        <v>33590</v>
      </c>
      <c r="T359" s="258">
        <f>SUM(T360:T362)</f>
        <v>35820</v>
      </c>
      <c r="U359" s="153">
        <f>SUM(U360:U362)</f>
        <v>2230</v>
      </c>
      <c r="V359" s="259"/>
      <c r="W359" s="260"/>
      <c r="X359" s="86"/>
    </row>
    <row r="360" spans="1:24" s="7" customFormat="1" ht="15" customHeight="1">
      <c r="A360" s="76" t="s">
        <v>460</v>
      </c>
      <c r="B360" s="9" t="s">
        <v>7</v>
      </c>
      <c r="C360" s="256"/>
      <c r="D360" s="238">
        <f aca="true" t="shared" si="136" ref="D360:I360">SUM(D366+D384)</f>
        <v>226957.32069</v>
      </c>
      <c r="E360" s="239">
        <f t="shared" si="136"/>
        <v>229715.42069</v>
      </c>
      <c r="F360" s="355">
        <f t="shared" si="136"/>
        <v>2758.100000000006</v>
      </c>
      <c r="G360" s="272">
        <f>SUM(G366+G384)</f>
        <v>34141.6</v>
      </c>
      <c r="H360" s="239">
        <f>SUM(H366+H384)</f>
        <v>33586</v>
      </c>
      <c r="I360" s="140">
        <f t="shared" si="136"/>
        <v>-555.6000000000013</v>
      </c>
      <c r="J360" s="253"/>
      <c r="K360" s="254"/>
      <c r="L360" s="338"/>
      <c r="M360" s="272">
        <f>SUM(M366+M384)</f>
        <v>34976.1</v>
      </c>
      <c r="N360" s="239">
        <f>SUM(N366+N384)</f>
        <v>36059.8</v>
      </c>
      <c r="O360" s="140">
        <f>SUM(O366+O384)</f>
        <v>1083.7000000000012</v>
      </c>
      <c r="P360" s="253"/>
      <c r="Q360" s="254"/>
      <c r="R360" s="338"/>
      <c r="S360" s="272">
        <f>SUM(S366+S384)</f>
        <v>33590</v>
      </c>
      <c r="T360" s="239">
        <f>SUM(T366+T384)</f>
        <v>35820</v>
      </c>
      <c r="U360" s="140">
        <f>SUM(U366+U384)</f>
        <v>2230</v>
      </c>
      <c r="V360" s="253"/>
      <c r="W360" s="254"/>
      <c r="X360" s="83"/>
    </row>
    <row r="361" spans="1:24" s="7" customFormat="1" ht="15" customHeight="1">
      <c r="A361" s="76" t="s">
        <v>461</v>
      </c>
      <c r="B361" s="9" t="s">
        <v>8</v>
      </c>
      <c r="C361" s="256"/>
      <c r="D361" s="238"/>
      <c r="E361" s="239"/>
      <c r="F361" s="358"/>
      <c r="G361" s="276"/>
      <c r="H361" s="252"/>
      <c r="I361" s="155"/>
      <c r="J361" s="253"/>
      <c r="K361" s="254"/>
      <c r="L361" s="341"/>
      <c r="M361" s="276"/>
      <c r="N361" s="252"/>
      <c r="O361" s="155"/>
      <c r="P361" s="253"/>
      <c r="Q361" s="254"/>
      <c r="R361" s="341"/>
      <c r="S361" s="276"/>
      <c r="T361" s="252"/>
      <c r="U361" s="155"/>
      <c r="V361" s="253"/>
      <c r="W361" s="254"/>
      <c r="X361" s="87"/>
    </row>
    <row r="362" spans="1:24" s="7" customFormat="1" ht="15" customHeight="1">
      <c r="A362" s="76" t="s">
        <v>462</v>
      </c>
      <c r="B362" s="9" t="s">
        <v>9</v>
      </c>
      <c r="C362" s="256"/>
      <c r="D362" s="238">
        <f aca="true" t="shared" si="137" ref="D362:I362">SUM(D368)</f>
        <v>750</v>
      </c>
      <c r="E362" s="239">
        <f t="shared" si="137"/>
        <v>750</v>
      </c>
      <c r="F362" s="358">
        <f t="shared" si="137"/>
        <v>0</v>
      </c>
      <c r="G362" s="276">
        <f>SUM(G368)</f>
        <v>0</v>
      </c>
      <c r="H362" s="252">
        <f>SUM(H368)</f>
        <v>0</v>
      </c>
      <c r="I362" s="155">
        <f t="shared" si="137"/>
        <v>0</v>
      </c>
      <c r="J362" s="253"/>
      <c r="K362" s="254"/>
      <c r="L362" s="341"/>
      <c r="M362" s="276">
        <f>SUM(M368)</f>
        <v>0</v>
      </c>
      <c r="N362" s="252">
        <f>SUM(N368)</f>
        <v>0</v>
      </c>
      <c r="O362" s="155">
        <f>SUM(O368)</f>
        <v>0</v>
      </c>
      <c r="P362" s="253"/>
      <c r="Q362" s="254"/>
      <c r="R362" s="341"/>
      <c r="S362" s="276">
        <f>SUM(S368)</f>
        <v>0</v>
      </c>
      <c r="T362" s="252">
        <f>SUM(T368)</f>
        <v>0</v>
      </c>
      <c r="U362" s="155">
        <f>SUM(U368)</f>
        <v>0</v>
      </c>
      <c r="V362" s="253"/>
      <c r="W362" s="254"/>
      <c r="X362" s="87"/>
    </row>
    <row r="363" spans="1:24" s="7" customFormat="1" ht="15" customHeight="1">
      <c r="A363" s="76"/>
      <c r="B363" s="9"/>
      <c r="C363" s="256"/>
      <c r="D363" s="238"/>
      <c r="E363" s="239"/>
      <c r="F363" s="358"/>
      <c r="G363" s="276"/>
      <c r="H363" s="252"/>
      <c r="I363" s="155"/>
      <c r="J363" s="253"/>
      <c r="K363" s="254"/>
      <c r="L363" s="341"/>
      <c r="M363" s="276"/>
      <c r="N363" s="252"/>
      <c r="O363" s="155"/>
      <c r="P363" s="253"/>
      <c r="Q363" s="254"/>
      <c r="R363" s="341"/>
      <c r="S363" s="276"/>
      <c r="T363" s="252"/>
      <c r="U363" s="155"/>
      <c r="V363" s="253"/>
      <c r="W363" s="254"/>
      <c r="X363" s="87"/>
    </row>
    <row r="364" spans="1:24" s="7" customFormat="1" ht="15" customHeight="1">
      <c r="A364" s="126"/>
      <c r="B364" s="261"/>
      <c r="C364" s="262"/>
      <c r="D364" s="389" t="s">
        <v>11</v>
      </c>
      <c r="E364" s="390"/>
      <c r="F364" s="390"/>
      <c r="G364" s="390"/>
      <c r="H364" s="390"/>
      <c r="I364" s="390"/>
      <c r="J364" s="390"/>
      <c r="K364" s="390"/>
      <c r="L364" s="419"/>
      <c r="M364" s="390" t="s">
        <v>11</v>
      </c>
      <c r="N364" s="390"/>
      <c r="O364" s="390"/>
      <c r="P364" s="390"/>
      <c r="Q364" s="390"/>
      <c r="R364" s="390"/>
      <c r="S364" s="390"/>
      <c r="T364" s="390"/>
      <c r="U364" s="390"/>
      <c r="V364" s="390"/>
      <c r="W364" s="390"/>
      <c r="X364" s="390"/>
    </row>
    <row r="365" spans="1:24" s="7" customFormat="1" ht="36" customHeight="1">
      <c r="A365" s="76" t="s">
        <v>463</v>
      </c>
      <c r="B365" s="26" t="s">
        <v>32</v>
      </c>
      <c r="C365" s="256"/>
      <c r="D365" s="264">
        <f aca="true" t="shared" si="138" ref="D365:I365">SUM(D366:D368)</f>
        <v>4100</v>
      </c>
      <c r="E365" s="265">
        <f t="shared" si="138"/>
        <v>2600</v>
      </c>
      <c r="F365" s="361">
        <f t="shared" si="138"/>
        <v>-1500</v>
      </c>
      <c r="G365" s="264">
        <f>SUM(G366:G368)</f>
        <v>0</v>
      </c>
      <c r="H365" s="265">
        <f>SUM(H366:H368)</f>
        <v>0</v>
      </c>
      <c r="I365" s="144">
        <f t="shared" si="138"/>
        <v>0</v>
      </c>
      <c r="J365" s="266"/>
      <c r="K365" s="267"/>
      <c r="L365" s="343"/>
      <c r="M365" s="264">
        <f>SUM(M366:M368)</f>
        <v>1100</v>
      </c>
      <c r="N365" s="265">
        <f>SUM(N366:N368)</f>
        <v>1100</v>
      </c>
      <c r="O365" s="144">
        <f>SUM(O366:O368)</f>
        <v>0</v>
      </c>
      <c r="P365" s="266"/>
      <c r="Q365" s="267"/>
      <c r="R365" s="343"/>
      <c r="S365" s="264">
        <f>SUM(S366:S368)</f>
        <v>1500</v>
      </c>
      <c r="T365" s="265">
        <f>SUM(T366:T368)</f>
        <v>0</v>
      </c>
      <c r="U365" s="144">
        <f>SUM(U366:U368)</f>
        <v>-1500</v>
      </c>
      <c r="V365" s="266"/>
      <c r="W365" s="267"/>
      <c r="X365" s="90"/>
    </row>
    <row r="366" spans="1:24" s="7" customFormat="1" ht="15" customHeight="1">
      <c r="A366" s="76" t="s">
        <v>464</v>
      </c>
      <c r="B366" s="9" t="s">
        <v>7</v>
      </c>
      <c r="C366" s="256"/>
      <c r="D366" s="238">
        <f aca="true" t="shared" si="139" ref="D366:I366">SUM(D372+D376+D379)</f>
        <v>3350</v>
      </c>
      <c r="E366" s="239">
        <f t="shared" si="139"/>
        <v>1850</v>
      </c>
      <c r="F366" s="355">
        <f t="shared" si="139"/>
        <v>-1500</v>
      </c>
      <c r="G366" s="272">
        <f>SUM(G372+G376+G379)</f>
        <v>0</v>
      </c>
      <c r="H366" s="239">
        <f>SUM(H372+H376+H379)</f>
        <v>0</v>
      </c>
      <c r="I366" s="140">
        <f t="shared" si="139"/>
        <v>0</v>
      </c>
      <c r="J366" s="240"/>
      <c r="K366" s="241"/>
      <c r="L366" s="338"/>
      <c r="M366" s="272">
        <f>SUM(M372+M376+M379)</f>
        <v>1100</v>
      </c>
      <c r="N366" s="239">
        <f>SUM(N372+N376+N379)</f>
        <v>1100</v>
      </c>
      <c r="O366" s="140">
        <f>SUM(O372+O376+O379)</f>
        <v>0</v>
      </c>
      <c r="P366" s="240"/>
      <c r="Q366" s="241"/>
      <c r="R366" s="338"/>
      <c r="S366" s="272">
        <f>SUM(S372+S376+S379)</f>
        <v>1500</v>
      </c>
      <c r="T366" s="239">
        <f>SUM(T372+T376+T379)</f>
        <v>0</v>
      </c>
      <c r="U366" s="140">
        <f>SUM(U372+U376+U379)</f>
        <v>-1500</v>
      </c>
      <c r="V366" s="240"/>
      <c r="W366" s="241"/>
      <c r="X366" s="83"/>
    </row>
    <row r="367" spans="1:24" s="7" customFormat="1" ht="15" customHeight="1">
      <c r="A367" s="76" t="s">
        <v>465</v>
      </c>
      <c r="B367" s="9" t="s">
        <v>8</v>
      </c>
      <c r="C367" s="256"/>
      <c r="D367" s="238"/>
      <c r="E367" s="239"/>
      <c r="F367" s="355"/>
      <c r="G367" s="272"/>
      <c r="H367" s="239"/>
      <c r="I367" s="140"/>
      <c r="J367" s="240"/>
      <c r="K367" s="241"/>
      <c r="L367" s="338"/>
      <c r="M367" s="272"/>
      <c r="N367" s="239"/>
      <c r="O367" s="140"/>
      <c r="P367" s="240"/>
      <c r="Q367" s="241"/>
      <c r="R367" s="338"/>
      <c r="S367" s="272"/>
      <c r="T367" s="239"/>
      <c r="U367" s="140"/>
      <c r="V367" s="240"/>
      <c r="W367" s="241"/>
      <c r="X367" s="83"/>
    </row>
    <row r="368" spans="1:24" s="7" customFormat="1" ht="15" customHeight="1">
      <c r="A368" s="76" t="s">
        <v>466</v>
      </c>
      <c r="B368" s="9" t="s">
        <v>9</v>
      </c>
      <c r="C368" s="256"/>
      <c r="D368" s="238">
        <f aca="true" t="shared" si="140" ref="D368:I368">SUM(D380)</f>
        <v>750</v>
      </c>
      <c r="E368" s="239">
        <f>SUM(E380)</f>
        <v>750</v>
      </c>
      <c r="F368" s="355">
        <f t="shared" si="140"/>
        <v>0</v>
      </c>
      <c r="G368" s="272">
        <f>SUM(G380)</f>
        <v>0</v>
      </c>
      <c r="H368" s="239">
        <f>SUM(H380)</f>
        <v>0</v>
      </c>
      <c r="I368" s="140">
        <f t="shared" si="140"/>
        <v>0</v>
      </c>
      <c r="J368" s="240"/>
      <c r="K368" s="241"/>
      <c r="L368" s="338"/>
      <c r="M368" s="272">
        <f>SUM(M380)</f>
        <v>0</v>
      </c>
      <c r="N368" s="239">
        <f>SUM(N380)</f>
        <v>0</v>
      </c>
      <c r="O368" s="140">
        <f>SUM(O380)</f>
        <v>0</v>
      </c>
      <c r="P368" s="240"/>
      <c r="Q368" s="241"/>
      <c r="R368" s="338"/>
      <c r="S368" s="272">
        <f>SUM(S380)</f>
        <v>0</v>
      </c>
      <c r="T368" s="239">
        <f>SUM(T380)</f>
        <v>0</v>
      </c>
      <c r="U368" s="140">
        <f>SUM(U380)</f>
        <v>0</v>
      </c>
      <c r="V368" s="240"/>
      <c r="W368" s="241"/>
      <c r="X368" s="83"/>
    </row>
    <row r="369" spans="1:24" s="7" customFormat="1" ht="15" customHeight="1">
      <c r="A369" s="77"/>
      <c r="B369" s="5"/>
      <c r="C369" s="256"/>
      <c r="D369" s="238"/>
      <c r="E369" s="239"/>
      <c r="F369" s="355"/>
      <c r="G369" s="272"/>
      <c r="H369" s="239"/>
      <c r="I369" s="140"/>
      <c r="J369" s="240"/>
      <c r="K369" s="241"/>
      <c r="L369" s="338"/>
      <c r="M369" s="272"/>
      <c r="N369" s="239"/>
      <c r="O369" s="140"/>
      <c r="P369" s="240"/>
      <c r="Q369" s="241"/>
      <c r="R369" s="338"/>
      <c r="S369" s="272"/>
      <c r="T369" s="239"/>
      <c r="U369" s="140"/>
      <c r="V369" s="240"/>
      <c r="W369" s="241"/>
      <c r="X369" s="83"/>
    </row>
    <row r="370" spans="1:24" s="7" customFormat="1" ht="15" customHeight="1">
      <c r="A370" s="127"/>
      <c r="B370" s="303"/>
      <c r="C370" s="304"/>
      <c r="D370" s="402" t="s">
        <v>12</v>
      </c>
      <c r="E370" s="403"/>
      <c r="F370" s="403"/>
      <c r="G370" s="403"/>
      <c r="H370" s="403"/>
      <c r="I370" s="403"/>
      <c r="J370" s="403"/>
      <c r="K370" s="403"/>
      <c r="L370" s="420"/>
      <c r="M370" s="403" t="s">
        <v>12</v>
      </c>
      <c r="N370" s="403"/>
      <c r="O370" s="403"/>
      <c r="P370" s="403"/>
      <c r="Q370" s="403"/>
      <c r="R370" s="403"/>
      <c r="S370" s="403"/>
      <c r="T370" s="403"/>
      <c r="U370" s="403"/>
      <c r="V370" s="403"/>
      <c r="W370" s="403"/>
      <c r="X370" s="403"/>
    </row>
    <row r="371" spans="1:24" s="7" customFormat="1" ht="46.5" customHeight="1">
      <c r="A371" s="76" t="s">
        <v>467</v>
      </c>
      <c r="B371" s="26" t="s">
        <v>102</v>
      </c>
      <c r="C371" s="256"/>
      <c r="D371" s="285">
        <f aca="true" t="shared" si="141" ref="D371:I371">SUM(D372:D373)</f>
        <v>0</v>
      </c>
      <c r="E371" s="286">
        <f t="shared" si="141"/>
        <v>0</v>
      </c>
      <c r="F371" s="361">
        <f t="shared" si="141"/>
        <v>0</v>
      </c>
      <c r="G371" s="264">
        <f>SUM(G372:G373)</f>
        <v>0</v>
      </c>
      <c r="H371" s="286">
        <f>SUM(H372:H373)</f>
        <v>0</v>
      </c>
      <c r="I371" s="143">
        <f t="shared" si="141"/>
        <v>0</v>
      </c>
      <c r="J371" s="288"/>
      <c r="K371" s="289"/>
      <c r="L371" s="343"/>
      <c r="M371" s="264">
        <f>SUM(M372:M373)</f>
        <v>0</v>
      </c>
      <c r="N371" s="286">
        <f>SUM(N372:N373)</f>
        <v>0</v>
      </c>
      <c r="O371" s="143">
        <f>SUM(O372:O373)</f>
        <v>0</v>
      </c>
      <c r="P371" s="288"/>
      <c r="Q371" s="289"/>
      <c r="R371" s="343"/>
      <c r="S371" s="264">
        <f>SUM(S372:S373)</f>
        <v>0</v>
      </c>
      <c r="T371" s="286">
        <f>SUM(T372:T373)</f>
        <v>0</v>
      </c>
      <c r="U371" s="143">
        <f>SUM(U372:U373)</f>
        <v>0</v>
      </c>
      <c r="V371" s="288"/>
      <c r="W371" s="289"/>
      <c r="X371" s="85"/>
    </row>
    <row r="372" spans="1:24" s="7" customFormat="1" ht="15" customHeight="1">
      <c r="A372" s="76" t="s">
        <v>468</v>
      </c>
      <c r="B372" s="9" t="s">
        <v>7</v>
      </c>
      <c r="C372" s="256"/>
      <c r="D372" s="238"/>
      <c r="E372" s="239"/>
      <c r="F372" s="355">
        <f>E372-D372</f>
        <v>0</v>
      </c>
      <c r="G372" s="272"/>
      <c r="H372" s="239"/>
      <c r="I372" s="140">
        <f>H372-G372</f>
        <v>0</v>
      </c>
      <c r="J372" s="240"/>
      <c r="K372" s="241"/>
      <c r="L372" s="338"/>
      <c r="M372" s="272"/>
      <c r="N372" s="239"/>
      <c r="O372" s="140">
        <f>N372-M372</f>
        <v>0</v>
      </c>
      <c r="P372" s="240"/>
      <c r="Q372" s="241"/>
      <c r="R372" s="338"/>
      <c r="S372" s="272"/>
      <c r="T372" s="239"/>
      <c r="U372" s="140">
        <f>T372-S372</f>
        <v>0</v>
      </c>
      <c r="V372" s="240"/>
      <c r="W372" s="241"/>
      <c r="X372" s="83"/>
    </row>
    <row r="373" spans="1:24" s="7" customFormat="1" ht="15" customHeight="1">
      <c r="A373" s="76"/>
      <c r="B373" s="9"/>
      <c r="C373" s="256"/>
      <c r="D373" s="238"/>
      <c r="E373" s="239"/>
      <c r="F373" s="355"/>
      <c r="G373" s="272"/>
      <c r="H373" s="239"/>
      <c r="I373" s="140"/>
      <c r="J373" s="240"/>
      <c r="K373" s="241"/>
      <c r="L373" s="338"/>
      <c r="M373" s="272"/>
      <c r="N373" s="239"/>
      <c r="O373" s="140"/>
      <c r="P373" s="240"/>
      <c r="Q373" s="241"/>
      <c r="R373" s="338"/>
      <c r="S373" s="272"/>
      <c r="T373" s="239"/>
      <c r="U373" s="140"/>
      <c r="V373" s="240"/>
      <c r="W373" s="241"/>
      <c r="X373" s="83"/>
    </row>
    <row r="374" spans="1:24" s="7" customFormat="1" ht="15" customHeight="1">
      <c r="A374" s="127"/>
      <c r="B374" s="303"/>
      <c r="C374" s="304"/>
      <c r="D374" s="402" t="s">
        <v>23</v>
      </c>
      <c r="E374" s="403"/>
      <c r="F374" s="403"/>
      <c r="G374" s="403"/>
      <c r="H374" s="403"/>
      <c r="I374" s="403"/>
      <c r="J374" s="403"/>
      <c r="K374" s="403"/>
      <c r="L374" s="403"/>
      <c r="M374" s="403" t="s">
        <v>23</v>
      </c>
      <c r="N374" s="403"/>
      <c r="O374" s="403"/>
      <c r="P374" s="403"/>
      <c r="Q374" s="403"/>
      <c r="R374" s="403"/>
      <c r="S374" s="403"/>
      <c r="T374" s="403"/>
      <c r="U374" s="403"/>
      <c r="V374" s="403"/>
      <c r="W374" s="403"/>
      <c r="X374" s="403"/>
    </row>
    <row r="375" spans="1:24" s="7" customFormat="1" ht="74.25" customHeight="1">
      <c r="A375" s="76" t="s">
        <v>469</v>
      </c>
      <c r="B375" s="26" t="s">
        <v>734</v>
      </c>
      <c r="C375" s="305" t="s">
        <v>644</v>
      </c>
      <c r="D375" s="285">
        <f aca="true" t="shared" si="142" ref="D375:I375">SUM(D376)</f>
        <v>1100</v>
      </c>
      <c r="E375" s="286">
        <f t="shared" si="142"/>
        <v>1100</v>
      </c>
      <c r="F375" s="361">
        <f t="shared" si="142"/>
        <v>0</v>
      </c>
      <c r="G375" s="264">
        <f>SUM(G376)</f>
        <v>0</v>
      </c>
      <c r="H375" s="286">
        <f>SUM(H376)</f>
        <v>0</v>
      </c>
      <c r="I375" s="143">
        <f t="shared" si="142"/>
        <v>0</v>
      </c>
      <c r="J375" s="288"/>
      <c r="K375" s="289"/>
      <c r="L375" s="343"/>
      <c r="M375" s="264">
        <f>SUM(M376)</f>
        <v>1100</v>
      </c>
      <c r="N375" s="286">
        <f>SUM(N376)</f>
        <v>1100</v>
      </c>
      <c r="O375" s="143">
        <f>SUM(O376)</f>
        <v>0</v>
      </c>
      <c r="P375" s="306" t="s">
        <v>645</v>
      </c>
      <c r="Q375" s="307" t="s">
        <v>645</v>
      </c>
      <c r="R375" s="346" t="s">
        <v>646</v>
      </c>
      <c r="S375" s="264">
        <f>SUM(S376)</f>
        <v>0</v>
      </c>
      <c r="T375" s="286">
        <f>SUM(T376)</f>
        <v>0</v>
      </c>
      <c r="U375" s="143">
        <f>SUM(U376)</f>
        <v>0</v>
      </c>
      <c r="V375" s="306" t="s">
        <v>647</v>
      </c>
      <c r="W375" s="307" t="s">
        <v>648</v>
      </c>
      <c r="X375" s="308" t="s">
        <v>646</v>
      </c>
    </row>
    <row r="376" spans="1:24" s="7" customFormat="1" ht="15" customHeight="1">
      <c r="A376" s="76" t="s">
        <v>470</v>
      </c>
      <c r="B376" s="9" t="s">
        <v>7</v>
      </c>
      <c r="C376" s="256"/>
      <c r="D376" s="238">
        <v>1100</v>
      </c>
      <c r="E376" s="239">
        <v>1100</v>
      </c>
      <c r="F376" s="355">
        <f>E376-D376</f>
        <v>0</v>
      </c>
      <c r="G376" s="272"/>
      <c r="H376" s="239"/>
      <c r="I376" s="140">
        <f>H376-G376</f>
        <v>0</v>
      </c>
      <c r="J376" s="240"/>
      <c r="K376" s="241"/>
      <c r="L376" s="338"/>
      <c r="M376" s="272">
        <v>1100</v>
      </c>
      <c r="N376" s="239">
        <v>1100</v>
      </c>
      <c r="O376" s="140">
        <f>N376-M376</f>
        <v>0</v>
      </c>
      <c r="P376" s="240"/>
      <c r="Q376" s="241"/>
      <c r="R376" s="338"/>
      <c r="S376" s="272"/>
      <c r="T376" s="239"/>
      <c r="U376" s="140">
        <f>T376-S376</f>
        <v>0</v>
      </c>
      <c r="V376" s="240"/>
      <c r="W376" s="241"/>
      <c r="X376" s="83"/>
    </row>
    <row r="377" spans="1:24" s="7" customFormat="1" ht="15" customHeight="1">
      <c r="A377" s="76"/>
      <c r="B377" s="9"/>
      <c r="C377" s="256"/>
      <c r="D377" s="238"/>
      <c r="E377" s="239"/>
      <c r="F377" s="355"/>
      <c r="G377" s="272"/>
      <c r="H377" s="239"/>
      <c r="I377" s="140"/>
      <c r="J377" s="240"/>
      <c r="K377" s="241"/>
      <c r="L377" s="338"/>
      <c r="M377" s="272"/>
      <c r="N377" s="239"/>
      <c r="O377" s="140"/>
      <c r="P377" s="240"/>
      <c r="Q377" s="241"/>
      <c r="R377" s="338"/>
      <c r="S377" s="272"/>
      <c r="T377" s="239"/>
      <c r="U377" s="140"/>
      <c r="V377" s="240"/>
      <c r="W377" s="241"/>
      <c r="X377" s="83"/>
    </row>
    <row r="378" spans="1:24" s="7" customFormat="1" ht="100.5" customHeight="1">
      <c r="A378" s="76" t="s">
        <v>471</v>
      </c>
      <c r="B378" s="27" t="s">
        <v>52</v>
      </c>
      <c r="C378" s="305" t="s">
        <v>644</v>
      </c>
      <c r="D378" s="285">
        <f aca="true" t="shared" si="143" ref="D378:I378">SUM(D379:D380)</f>
        <v>3000</v>
      </c>
      <c r="E378" s="286">
        <f t="shared" si="143"/>
        <v>1500</v>
      </c>
      <c r="F378" s="361">
        <f t="shared" si="143"/>
        <v>-1500</v>
      </c>
      <c r="G378" s="264">
        <f>SUM(G379:G380)</f>
        <v>0</v>
      </c>
      <c r="H378" s="286">
        <f>SUM(H379:H380)</f>
        <v>0</v>
      </c>
      <c r="I378" s="143">
        <f t="shared" si="143"/>
        <v>0</v>
      </c>
      <c r="J378" s="306" t="s">
        <v>645</v>
      </c>
      <c r="K378" s="307" t="s">
        <v>645</v>
      </c>
      <c r="L378" s="344" t="s">
        <v>646</v>
      </c>
      <c r="M378" s="264">
        <f>SUM(M379:M380)</f>
        <v>0</v>
      </c>
      <c r="N378" s="286">
        <f>SUM(N379:N380)</f>
        <v>0</v>
      </c>
      <c r="O378" s="143">
        <f>SUM(O379:O380)</f>
        <v>0</v>
      </c>
      <c r="P378" s="306" t="s">
        <v>647</v>
      </c>
      <c r="Q378" s="307" t="s">
        <v>647</v>
      </c>
      <c r="R378" s="346" t="s">
        <v>646</v>
      </c>
      <c r="S378" s="264">
        <f>SUM(S379:S380)</f>
        <v>1500</v>
      </c>
      <c r="T378" s="286">
        <f>SUM(T379:T380)</f>
        <v>0</v>
      </c>
      <c r="U378" s="143">
        <f>SUM(U379:U380)</f>
        <v>-1500</v>
      </c>
      <c r="V378" s="306" t="s">
        <v>716</v>
      </c>
      <c r="W378" s="307" t="s">
        <v>716</v>
      </c>
      <c r="X378" s="308" t="s">
        <v>646</v>
      </c>
    </row>
    <row r="379" spans="1:24" s="7" customFormat="1" ht="15.75">
      <c r="A379" s="76" t="s">
        <v>472</v>
      </c>
      <c r="B379" s="9" t="s">
        <v>7</v>
      </c>
      <c r="C379" s="256"/>
      <c r="D379" s="238">
        <f>3755-1505</f>
        <v>2250</v>
      </c>
      <c r="E379" s="239">
        <v>750</v>
      </c>
      <c r="F379" s="355">
        <f>E379-D379</f>
        <v>-1500</v>
      </c>
      <c r="G379" s="276"/>
      <c r="H379" s="252"/>
      <c r="I379" s="140">
        <f>H379-G379</f>
        <v>0</v>
      </c>
      <c r="J379" s="253"/>
      <c r="K379" s="254"/>
      <c r="L379" s="341"/>
      <c r="M379" s="276"/>
      <c r="N379" s="252"/>
      <c r="O379" s="155">
        <f>N379-M379</f>
        <v>0</v>
      </c>
      <c r="P379" s="253"/>
      <c r="Q379" s="254"/>
      <c r="R379" s="341"/>
      <c r="S379" s="276">
        <v>1500</v>
      </c>
      <c r="T379" s="252"/>
      <c r="U379" s="155">
        <f>T379-S379</f>
        <v>-1500</v>
      </c>
      <c r="V379" s="253"/>
      <c r="W379" s="254"/>
      <c r="X379" s="87"/>
    </row>
    <row r="380" spans="1:24" s="7" customFormat="1" ht="15" customHeight="1">
      <c r="A380" s="76" t="s">
        <v>473</v>
      </c>
      <c r="B380" s="9" t="s">
        <v>9</v>
      </c>
      <c r="C380" s="256"/>
      <c r="D380" s="238">
        <f>750</f>
        <v>750</v>
      </c>
      <c r="E380" s="239">
        <f>750</f>
        <v>750</v>
      </c>
      <c r="F380" s="358">
        <f>E380-D380</f>
        <v>0</v>
      </c>
      <c r="G380" s="276"/>
      <c r="H380" s="252"/>
      <c r="I380" s="155">
        <f>H380-G380</f>
        <v>0</v>
      </c>
      <c r="J380" s="253"/>
      <c r="K380" s="254"/>
      <c r="L380" s="341"/>
      <c r="M380" s="276"/>
      <c r="N380" s="252"/>
      <c r="O380" s="155">
        <f>N380-M380</f>
        <v>0</v>
      </c>
      <c r="P380" s="253"/>
      <c r="Q380" s="254"/>
      <c r="R380" s="341"/>
      <c r="S380" s="276"/>
      <c r="T380" s="252"/>
      <c r="U380" s="155">
        <f>T380-S380</f>
        <v>0</v>
      </c>
      <c r="V380" s="253"/>
      <c r="W380" s="254"/>
      <c r="X380" s="87"/>
    </row>
    <row r="381" spans="1:24" s="7" customFormat="1" ht="15" customHeight="1">
      <c r="A381" s="76"/>
      <c r="B381" s="11"/>
      <c r="C381" s="256"/>
      <c r="D381" s="251"/>
      <c r="E381" s="252"/>
      <c r="F381" s="358"/>
      <c r="G381" s="276"/>
      <c r="H381" s="252"/>
      <c r="I381" s="155"/>
      <c r="J381" s="253"/>
      <c r="K381" s="254"/>
      <c r="L381" s="341"/>
      <c r="M381" s="276"/>
      <c r="N381" s="252"/>
      <c r="O381" s="155"/>
      <c r="P381" s="253"/>
      <c r="Q381" s="254"/>
      <c r="R381" s="341"/>
      <c r="S381" s="276"/>
      <c r="T381" s="252"/>
      <c r="U381" s="155"/>
      <c r="V381" s="253"/>
      <c r="W381" s="254"/>
      <c r="X381" s="87"/>
    </row>
    <row r="382" spans="1:24" s="7" customFormat="1" ht="15" customHeight="1">
      <c r="A382" s="126"/>
      <c r="B382" s="261"/>
      <c r="C382" s="262"/>
      <c r="D382" s="389" t="s">
        <v>15</v>
      </c>
      <c r="E382" s="390"/>
      <c r="F382" s="390"/>
      <c r="G382" s="390"/>
      <c r="H382" s="390"/>
      <c r="I382" s="390"/>
      <c r="J382" s="390"/>
      <c r="K382" s="390"/>
      <c r="L382" s="419"/>
      <c r="M382" s="390" t="s">
        <v>15</v>
      </c>
      <c r="N382" s="390"/>
      <c r="O382" s="390"/>
      <c r="P382" s="390"/>
      <c r="Q382" s="390"/>
      <c r="R382" s="390"/>
      <c r="S382" s="390"/>
      <c r="T382" s="390"/>
      <c r="U382" s="390"/>
      <c r="V382" s="390"/>
      <c r="W382" s="390"/>
      <c r="X382" s="390"/>
    </row>
    <row r="383" spans="1:24" s="7" customFormat="1" ht="31.5">
      <c r="A383" s="76" t="s">
        <v>474</v>
      </c>
      <c r="B383" s="26" t="s">
        <v>16</v>
      </c>
      <c r="C383" s="256"/>
      <c r="D383" s="285">
        <f aca="true" t="shared" si="144" ref="D383:I383">SUM(D384:D384)</f>
        <v>223607.32069</v>
      </c>
      <c r="E383" s="286">
        <f t="shared" si="144"/>
        <v>227865.42069</v>
      </c>
      <c r="F383" s="360">
        <f t="shared" si="144"/>
        <v>4258.100000000006</v>
      </c>
      <c r="G383" s="268">
        <f>SUM(G384:G384)</f>
        <v>34141.6</v>
      </c>
      <c r="H383" s="258">
        <f>SUM(H384:H384)</f>
        <v>33586</v>
      </c>
      <c r="I383" s="153">
        <f t="shared" si="144"/>
        <v>-555.6000000000013</v>
      </c>
      <c r="J383" s="259"/>
      <c r="K383" s="260"/>
      <c r="L383" s="351"/>
      <c r="M383" s="268">
        <f>SUM(M384:M384)</f>
        <v>33876.1</v>
      </c>
      <c r="N383" s="258">
        <f>SUM(N384:N384)</f>
        <v>34959.8</v>
      </c>
      <c r="O383" s="153">
        <f>SUM(O384:O384)</f>
        <v>1083.7000000000012</v>
      </c>
      <c r="P383" s="259"/>
      <c r="Q383" s="260"/>
      <c r="R383" s="351"/>
      <c r="S383" s="268">
        <f>SUM(S384:S384)</f>
        <v>32090</v>
      </c>
      <c r="T383" s="258">
        <f>SUM(T384:T384)</f>
        <v>35820</v>
      </c>
      <c r="U383" s="153">
        <f>SUM(U384:U384)</f>
        <v>3730</v>
      </c>
      <c r="V383" s="259"/>
      <c r="W383" s="260"/>
      <c r="X383" s="86"/>
    </row>
    <row r="384" spans="1:24" s="7" customFormat="1" ht="15" customHeight="1">
      <c r="A384" s="76" t="s">
        <v>475</v>
      </c>
      <c r="B384" s="9" t="s">
        <v>7</v>
      </c>
      <c r="C384" s="237"/>
      <c r="D384" s="238">
        <f aca="true" t="shared" si="145" ref="D384:I384">SUM(D387+D390+D405+D408+D411)</f>
        <v>223607.32069</v>
      </c>
      <c r="E384" s="239">
        <f t="shared" si="145"/>
        <v>227865.42069</v>
      </c>
      <c r="F384" s="358">
        <f t="shared" si="145"/>
        <v>4258.100000000006</v>
      </c>
      <c r="G384" s="276">
        <f>SUM(G387+G390+G405+G408+G411)</f>
        <v>34141.6</v>
      </c>
      <c r="H384" s="252">
        <f>SUM(H387+H390+H405+H408+H411)</f>
        <v>33586</v>
      </c>
      <c r="I384" s="155">
        <f t="shared" si="145"/>
        <v>-555.6000000000013</v>
      </c>
      <c r="J384" s="253"/>
      <c r="K384" s="254"/>
      <c r="L384" s="341"/>
      <c r="M384" s="276">
        <f>SUM(M387+M390+M405+M408+M411)</f>
        <v>33876.1</v>
      </c>
      <c r="N384" s="252">
        <f>SUM(N387+N390+N405+N408+N411)</f>
        <v>34959.8</v>
      </c>
      <c r="O384" s="155">
        <f>SUM(O387+O390+O405+O408+O411)</f>
        <v>1083.7000000000012</v>
      </c>
      <c r="P384" s="253"/>
      <c r="Q384" s="254"/>
      <c r="R384" s="341"/>
      <c r="S384" s="276">
        <f>SUM(S387+S390+S405+S408+S411)</f>
        <v>32090</v>
      </c>
      <c r="T384" s="252">
        <f>SUM(T387+T390+T405+T408+T411)</f>
        <v>35820</v>
      </c>
      <c r="U384" s="155">
        <f>SUM(U387+U390+U405+U408+U411)</f>
        <v>3730</v>
      </c>
      <c r="V384" s="253"/>
      <c r="W384" s="254"/>
      <c r="X384" s="87"/>
    </row>
    <row r="385" spans="1:24" s="7" customFormat="1" ht="15" customHeight="1">
      <c r="A385" s="76"/>
      <c r="B385" s="11"/>
      <c r="C385" s="256"/>
      <c r="D385" s="238"/>
      <c r="E385" s="239"/>
      <c r="F385" s="358"/>
      <c r="G385" s="276"/>
      <c r="H385" s="252"/>
      <c r="I385" s="155"/>
      <c r="J385" s="253"/>
      <c r="K385" s="254"/>
      <c r="L385" s="341"/>
      <c r="M385" s="276"/>
      <c r="N385" s="252"/>
      <c r="O385" s="155"/>
      <c r="P385" s="253"/>
      <c r="Q385" s="254"/>
      <c r="R385" s="341"/>
      <c r="S385" s="276"/>
      <c r="T385" s="252"/>
      <c r="U385" s="155"/>
      <c r="V385" s="253"/>
      <c r="W385" s="254"/>
      <c r="X385" s="87"/>
    </row>
    <row r="386" spans="1:24" s="7" customFormat="1" ht="130.5" customHeight="1">
      <c r="A386" s="76" t="s">
        <v>124</v>
      </c>
      <c r="B386" s="26" t="s">
        <v>486</v>
      </c>
      <c r="C386" s="305" t="s">
        <v>649</v>
      </c>
      <c r="D386" s="285">
        <f aca="true" t="shared" si="146" ref="D386:I386">SUM(D387)</f>
        <v>26236.988690000006</v>
      </c>
      <c r="E386" s="286">
        <f t="shared" si="146"/>
        <v>26618.88869</v>
      </c>
      <c r="F386" s="360">
        <f t="shared" si="146"/>
        <v>381.8999999999942</v>
      </c>
      <c r="G386" s="264">
        <f>SUM(G387)</f>
        <v>3772.2000000000003</v>
      </c>
      <c r="H386" s="286">
        <f>SUM(H387)</f>
        <v>3786</v>
      </c>
      <c r="I386" s="153">
        <f t="shared" si="146"/>
        <v>13.799999999999727</v>
      </c>
      <c r="J386" s="306" t="s">
        <v>651</v>
      </c>
      <c r="K386" s="307" t="s">
        <v>651</v>
      </c>
      <c r="L386" s="344" t="s">
        <v>650</v>
      </c>
      <c r="M386" s="264">
        <f>SUM(M387)</f>
        <v>3831.9</v>
      </c>
      <c r="N386" s="286">
        <f>SUM(N387)</f>
        <v>4100</v>
      </c>
      <c r="O386" s="143">
        <f>SUM(O387)</f>
        <v>268.0999999999999</v>
      </c>
      <c r="P386" s="306" t="s">
        <v>652</v>
      </c>
      <c r="Q386" s="307" t="s">
        <v>652</v>
      </c>
      <c r="R386" s="344" t="s">
        <v>650</v>
      </c>
      <c r="S386" s="264">
        <f>SUM(S387)</f>
        <v>4000</v>
      </c>
      <c r="T386" s="286">
        <f>SUM(T387)</f>
        <v>4100</v>
      </c>
      <c r="U386" s="143">
        <f>SUM(U387)</f>
        <v>100</v>
      </c>
      <c r="V386" s="306" t="s">
        <v>717</v>
      </c>
      <c r="W386" s="307" t="s">
        <v>717</v>
      </c>
      <c r="X386" s="321" t="s">
        <v>650</v>
      </c>
    </row>
    <row r="387" spans="1:24" s="7" customFormat="1" ht="15" customHeight="1">
      <c r="A387" s="76" t="s">
        <v>125</v>
      </c>
      <c r="B387" s="9" t="s">
        <v>7</v>
      </c>
      <c r="C387" s="256"/>
      <c r="D387" s="238">
        <f>25221.7861+251.40259+381.9+381.9</f>
        <v>26236.988690000006</v>
      </c>
      <c r="E387" s="239">
        <v>26618.88869</v>
      </c>
      <c r="F387" s="358">
        <f>E387-D387</f>
        <v>381.8999999999942</v>
      </c>
      <c r="G387" s="272">
        <f>3390.3+381.9</f>
        <v>3772.2000000000003</v>
      </c>
      <c r="H387" s="239">
        <v>3786</v>
      </c>
      <c r="I387" s="155">
        <f>H387-G387</f>
        <v>13.799999999999727</v>
      </c>
      <c r="J387" s="240"/>
      <c r="K387" s="241"/>
      <c r="L387" s="338"/>
      <c r="M387" s="272">
        <f>3450+381.9</f>
        <v>3831.9</v>
      </c>
      <c r="N387" s="239">
        <v>4100</v>
      </c>
      <c r="O387" s="140">
        <f>N387-M387</f>
        <v>268.0999999999999</v>
      </c>
      <c r="P387" s="240"/>
      <c r="Q387" s="241"/>
      <c r="R387" s="338"/>
      <c r="S387" s="272">
        <v>4000</v>
      </c>
      <c r="T387" s="239">
        <v>4100</v>
      </c>
      <c r="U387" s="140">
        <f>T387-S387</f>
        <v>100</v>
      </c>
      <c r="V387" s="240"/>
      <c r="W387" s="241"/>
      <c r="X387" s="83"/>
    </row>
    <row r="388" spans="1:24" s="7" customFormat="1" ht="15" customHeight="1">
      <c r="A388" s="76"/>
      <c r="B388" s="9"/>
      <c r="C388" s="256"/>
      <c r="D388" s="238"/>
      <c r="E388" s="239"/>
      <c r="F388" s="358"/>
      <c r="G388" s="272"/>
      <c r="H388" s="239"/>
      <c r="I388" s="155"/>
      <c r="J388" s="240"/>
      <c r="K388" s="241"/>
      <c r="L388" s="338"/>
      <c r="M388" s="272"/>
      <c r="N388" s="239"/>
      <c r="O388" s="140"/>
      <c r="P388" s="240"/>
      <c r="Q388" s="241"/>
      <c r="R388" s="338"/>
      <c r="S388" s="272"/>
      <c r="T388" s="239"/>
      <c r="U388" s="140"/>
      <c r="V388" s="240"/>
      <c r="W388" s="241"/>
      <c r="X388" s="83"/>
    </row>
    <row r="389" spans="1:24" s="7" customFormat="1" ht="111" customHeight="1">
      <c r="A389" s="76" t="s">
        <v>126</v>
      </c>
      <c r="B389" s="26" t="s">
        <v>116</v>
      </c>
      <c r="C389" s="305" t="s">
        <v>653</v>
      </c>
      <c r="D389" s="285">
        <f aca="true" t="shared" si="147" ref="D389:I389">SUM(D390)</f>
        <v>194516.46899999998</v>
      </c>
      <c r="E389" s="286">
        <f t="shared" si="147"/>
        <v>198772.669</v>
      </c>
      <c r="F389" s="360">
        <f>E389-D389</f>
        <v>4256.200000000012</v>
      </c>
      <c r="G389" s="264">
        <f>SUM(G390)</f>
        <v>29929.4</v>
      </c>
      <c r="H389" s="286">
        <f>SUM(H390)</f>
        <v>29520</v>
      </c>
      <c r="I389" s="153">
        <f t="shared" si="147"/>
        <v>-409.400000000001</v>
      </c>
      <c r="J389" s="306" t="s">
        <v>645</v>
      </c>
      <c r="K389" s="307" t="s">
        <v>645</v>
      </c>
      <c r="L389" s="344" t="s">
        <v>646</v>
      </c>
      <c r="M389" s="264">
        <f>SUM(M390)</f>
        <v>29604.2</v>
      </c>
      <c r="N389" s="286">
        <f>SUM(N390)</f>
        <v>30529.8</v>
      </c>
      <c r="O389" s="143">
        <f>SUM(O390)</f>
        <v>925.6000000000013</v>
      </c>
      <c r="P389" s="306" t="s">
        <v>647</v>
      </c>
      <c r="Q389" s="307" t="s">
        <v>647</v>
      </c>
      <c r="R389" s="346" t="s">
        <v>646</v>
      </c>
      <c r="S389" s="264">
        <f>SUM(S390)</f>
        <v>27650</v>
      </c>
      <c r="T389" s="286">
        <f>SUM(T390)</f>
        <v>31390</v>
      </c>
      <c r="U389" s="143">
        <f>SUM(U390)</f>
        <v>3740</v>
      </c>
      <c r="V389" s="306" t="s">
        <v>716</v>
      </c>
      <c r="W389" s="307" t="s">
        <v>716</v>
      </c>
      <c r="X389" s="308" t="s">
        <v>646</v>
      </c>
    </row>
    <row r="390" spans="1:24" s="7" customFormat="1" ht="15" customHeight="1">
      <c r="A390" s="76" t="s">
        <v>127</v>
      </c>
      <c r="B390" s="9" t="s">
        <v>7</v>
      </c>
      <c r="C390" s="256"/>
      <c r="D390" s="285">
        <f>SUM(D393+D396+D399+D402)</f>
        <v>194516.46899999998</v>
      </c>
      <c r="E390" s="286">
        <f>SUM(E393+E396+E399+E402)</f>
        <v>198772.669</v>
      </c>
      <c r="F390" s="360">
        <f>E390-D390</f>
        <v>4256.200000000012</v>
      </c>
      <c r="G390" s="264">
        <f>SUM(G393+G396+G399+G402)</f>
        <v>29929.4</v>
      </c>
      <c r="H390" s="286">
        <f>SUM(H393+H396+H399+H402)</f>
        <v>29520</v>
      </c>
      <c r="I390" s="153">
        <f>SUM(I393+I396+I399+I402)</f>
        <v>-409.400000000001</v>
      </c>
      <c r="J390" s="288"/>
      <c r="K390" s="289"/>
      <c r="L390" s="343"/>
      <c r="M390" s="264">
        <f>SUM(M393+M396+M399+M402)</f>
        <v>29604.2</v>
      </c>
      <c r="N390" s="286">
        <f>SUM(N393+N396+N399+N402)</f>
        <v>30529.8</v>
      </c>
      <c r="O390" s="143">
        <f>SUM(O393+O396+O399+O402)</f>
        <v>925.6000000000013</v>
      </c>
      <c r="P390" s="288"/>
      <c r="Q390" s="289"/>
      <c r="R390" s="343"/>
      <c r="S390" s="264">
        <f>SUM(S393+S396+S399+S402)</f>
        <v>27650</v>
      </c>
      <c r="T390" s="286">
        <f>SUM(T393+T396+T399+T402)</f>
        <v>31390</v>
      </c>
      <c r="U390" s="143">
        <f>SUM(U393+U396+U399+U402)</f>
        <v>3740</v>
      </c>
      <c r="V390" s="288"/>
      <c r="W390" s="289"/>
      <c r="X390" s="85"/>
    </row>
    <row r="391" spans="1:24" s="7" customFormat="1" ht="15" customHeight="1">
      <c r="A391" s="76"/>
      <c r="B391" s="9"/>
      <c r="C391" s="256"/>
      <c r="D391" s="238"/>
      <c r="E391" s="239"/>
      <c r="F391" s="358"/>
      <c r="G391" s="272"/>
      <c r="H391" s="239"/>
      <c r="I391" s="155"/>
      <c r="J391" s="240"/>
      <c r="K391" s="241"/>
      <c r="L391" s="338"/>
      <c r="M391" s="272"/>
      <c r="N391" s="239"/>
      <c r="O391" s="140"/>
      <c r="P391" s="240"/>
      <c r="Q391" s="241"/>
      <c r="R391" s="338"/>
      <c r="S391" s="272"/>
      <c r="T391" s="239"/>
      <c r="U391" s="140"/>
      <c r="V391" s="240"/>
      <c r="W391" s="241"/>
      <c r="X391" s="83"/>
    </row>
    <row r="392" spans="1:24" s="7" customFormat="1" ht="51" customHeight="1">
      <c r="A392" s="76" t="s">
        <v>128</v>
      </c>
      <c r="B392" s="9" t="s">
        <v>117</v>
      </c>
      <c r="C392" s="256"/>
      <c r="D392" s="238">
        <f aca="true" t="shared" si="148" ref="D392:I392">SUM(D393)</f>
        <v>17287.93</v>
      </c>
      <c r="E392" s="239">
        <f t="shared" si="148"/>
        <v>16542.13</v>
      </c>
      <c r="F392" s="371">
        <f t="shared" si="148"/>
        <v>-745.7999999999993</v>
      </c>
      <c r="G392" s="272">
        <f>SUM(G393)</f>
        <v>3016.1</v>
      </c>
      <c r="H392" s="239">
        <f>SUM(H393)</f>
        <v>2418</v>
      </c>
      <c r="I392" s="161">
        <f t="shared" si="148"/>
        <v>-598.0999999999999</v>
      </c>
      <c r="J392" s="240"/>
      <c r="K392" s="241"/>
      <c r="L392" s="347"/>
      <c r="M392" s="272">
        <f>SUM(M393)</f>
        <v>3121.5</v>
      </c>
      <c r="N392" s="239">
        <f>SUM(N393)</f>
        <v>2543.8</v>
      </c>
      <c r="O392" s="151">
        <f>SUM(O393)</f>
        <v>-577.6999999999998</v>
      </c>
      <c r="P392" s="240"/>
      <c r="Q392" s="241"/>
      <c r="R392" s="347"/>
      <c r="S392" s="272">
        <f>SUM(S393)</f>
        <v>2240</v>
      </c>
      <c r="T392" s="239">
        <f>SUM(T393)</f>
        <v>2670</v>
      </c>
      <c r="U392" s="151">
        <f>SUM(U393)</f>
        <v>430</v>
      </c>
      <c r="V392" s="240"/>
      <c r="W392" s="241"/>
      <c r="X392" s="92"/>
    </row>
    <row r="393" spans="1:24" s="7" customFormat="1" ht="15" customHeight="1">
      <c r="A393" s="76" t="s">
        <v>129</v>
      </c>
      <c r="B393" s="9" t="s">
        <v>7</v>
      </c>
      <c r="C393" s="256"/>
      <c r="D393" s="238">
        <v>17287.93</v>
      </c>
      <c r="E393" s="239">
        <v>16542.13</v>
      </c>
      <c r="F393" s="358">
        <f>E393-D393</f>
        <v>-745.7999999999993</v>
      </c>
      <c r="G393" s="272">
        <v>3016.1</v>
      </c>
      <c r="H393" s="239">
        <v>2418</v>
      </c>
      <c r="I393" s="155">
        <f>H393-G393</f>
        <v>-598.0999999999999</v>
      </c>
      <c r="J393" s="240"/>
      <c r="K393" s="241"/>
      <c r="L393" s="338"/>
      <c r="M393" s="272">
        <v>3121.5</v>
      </c>
      <c r="N393" s="239">
        <v>2543.8</v>
      </c>
      <c r="O393" s="140">
        <f>N393-M393</f>
        <v>-577.6999999999998</v>
      </c>
      <c r="P393" s="240"/>
      <c r="Q393" s="241"/>
      <c r="R393" s="338"/>
      <c r="S393" s="272">
        <v>2240</v>
      </c>
      <c r="T393" s="239">
        <v>2670</v>
      </c>
      <c r="U393" s="140">
        <f>T393-S393</f>
        <v>430</v>
      </c>
      <c r="V393" s="240"/>
      <c r="W393" s="241"/>
      <c r="X393" s="83"/>
    </row>
    <row r="394" spans="1:24" s="7" customFormat="1" ht="15" customHeight="1">
      <c r="A394" s="76"/>
      <c r="B394" s="9"/>
      <c r="C394" s="256"/>
      <c r="D394" s="238"/>
      <c r="E394" s="239"/>
      <c r="F394" s="371"/>
      <c r="G394" s="272"/>
      <c r="H394" s="239"/>
      <c r="I394" s="161"/>
      <c r="J394" s="240"/>
      <c r="K394" s="241"/>
      <c r="L394" s="347"/>
      <c r="M394" s="272"/>
      <c r="N394" s="239"/>
      <c r="O394" s="151"/>
      <c r="P394" s="240"/>
      <c r="Q394" s="241"/>
      <c r="R394" s="347"/>
      <c r="S394" s="272"/>
      <c r="T394" s="239"/>
      <c r="U394" s="151"/>
      <c r="V394" s="240"/>
      <c r="W394" s="241"/>
      <c r="X394" s="92"/>
    </row>
    <row r="395" spans="1:24" s="7" customFormat="1" ht="50.25" customHeight="1">
      <c r="A395" s="76" t="s">
        <v>163</v>
      </c>
      <c r="B395" s="9" t="s">
        <v>118</v>
      </c>
      <c r="C395" s="256"/>
      <c r="D395" s="238">
        <f aca="true" t="shared" si="149" ref="D395:I395">SUM(D396)</f>
        <v>220</v>
      </c>
      <c r="E395" s="239">
        <f t="shared" si="149"/>
        <v>220</v>
      </c>
      <c r="F395" s="371">
        <f t="shared" si="149"/>
        <v>0</v>
      </c>
      <c r="G395" s="272">
        <f>SUM(G396)</f>
        <v>0</v>
      </c>
      <c r="H395" s="239">
        <f>SUM(H396)</f>
        <v>0</v>
      </c>
      <c r="I395" s="161">
        <f t="shared" si="149"/>
        <v>0</v>
      </c>
      <c r="J395" s="240"/>
      <c r="K395" s="241"/>
      <c r="L395" s="347"/>
      <c r="M395" s="272">
        <f>SUM(M396)</f>
        <v>0</v>
      </c>
      <c r="N395" s="239">
        <f>SUM(N396)</f>
        <v>0</v>
      </c>
      <c r="O395" s="151">
        <f>SUM(O396)</f>
        <v>0</v>
      </c>
      <c r="P395" s="240"/>
      <c r="Q395" s="241"/>
      <c r="R395" s="347"/>
      <c r="S395" s="272">
        <f>SUM(S396)</f>
        <v>0</v>
      </c>
      <c r="T395" s="239">
        <f>SUM(T396)</f>
        <v>0</v>
      </c>
      <c r="U395" s="151">
        <f>SUM(U396)</f>
        <v>0</v>
      </c>
      <c r="V395" s="240"/>
      <c r="W395" s="241"/>
      <c r="X395" s="92"/>
    </row>
    <row r="396" spans="1:24" s="7" customFormat="1" ht="15" customHeight="1">
      <c r="A396" s="76" t="s">
        <v>164</v>
      </c>
      <c r="B396" s="9" t="s">
        <v>7</v>
      </c>
      <c r="C396" s="256"/>
      <c r="D396" s="238">
        <v>220</v>
      </c>
      <c r="E396" s="239">
        <v>220</v>
      </c>
      <c r="F396" s="358">
        <f>E396-D396</f>
        <v>0</v>
      </c>
      <c r="G396" s="272"/>
      <c r="H396" s="239"/>
      <c r="I396" s="155">
        <f>H396-G396</f>
        <v>0</v>
      </c>
      <c r="J396" s="240"/>
      <c r="K396" s="241"/>
      <c r="L396" s="338"/>
      <c r="M396" s="272"/>
      <c r="N396" s="239"/>
      <c r="O396" s="140">
        <f>N396-M396</f>
        <v>0</v>
      </c>
      <c r="P396" s="240"/>
      <c r="Q396" s="241"/>
      <c r="R396" s="338"/>
      <c r="S396" s="272"/>
      <c r="T396" s="239"/>
      <c r="U396" s="140">
        <f>T396-S396</f>
        <v>0</v>
      </c>
      <c r="V396" s="240"/>
      <c r="W396" s="241"/>
      <c r="X396" s="83"/>
    </row>
    <row r="397" spans="1:24" s="7" customFormat="1" ht="15" customHeight="1">
      <c r="A397" s="76"/>
      <c r="B397" s="9"/>
      <c r="C397" s="256"/>
      <c r="D397" s="238"/>
      <c r="E397" s="239"/>
      <c r="F397" s="371"/>
      <c r="G397" s="272"/>
      <c r="H397" s="239"/>
      <c r="I397" s="161"/>
      <c r="J397" s="240"/>
      <c r="K397" s="241"/>
      <c r="L397" s="347"/>
      <c r="M397" s="272"/>
      <c r="N397" s="239"/>
      <c r="O397" s="151"/>
      <c r="P397" s="240"/>
      <c r="Q397" s="241"/>
      <c r="R397" s="347"/>
      <c r="S397" s="272"/>
      <c r="T397" s="239"/>
      <c r="U397" s="151"/>
      <c r="V397" s="240"/>
      <c r="W397" s="241"/>
      <c r="X397" s="92"/>
    </row>
    <row r="398" spans="1:24" s="7" customFormat="1" ht="64.5" customHeight="1">
      <c r="A398" s="76" t="s">
        <v>174</v>
      </c>
      <c r="B398" s="9" t="s">
        <v>119</v>
      </c>
      <c r="C398" s="256"/>
      <c r="D398" s="238">
        <f aca="true" t="shared" si="150" ref="D398:I398">SUM(D399)</f>
        <v>95233.826</v>
      </c>
      <c r="E398" s="239">
        <f t="shared" si="150"/>
        <v>97038.726</v>
      </c>
      <c r="F398" s="371">
        <f t="shared" si="150"/>
        <v>1804.8999999999942</v>
      </c>
      <c r="G398" s="272">
        <f>SUM(G399)</f>
        <v>13918.7</v>
      </c>
      <c r="H398" s="239">
        <f>SUM(H399)</f>
        <v>14591</v>
      </c>
      <c r="I398" s="161">
        <f t="shared" si="150"/>
        <v>672.2999999999993</v>
      </c>
      <c r="J398" s="240"/>
      <c r="K398" s="241"/>
      <c r="L398" s="347"/>
      <c r="M398" s="272">
        <f>SUM(M399)</f>
        <v>14313.4</v>
      </c>
      <c r="N398" s="239">
        <f>SUM(N399)</f>
        <v>15086</v>
      </c>
      <c r="O398" s="151">
        <f>SUM(O399)</f>
        <v>772.6000000000004</v>
      </c>
      <c r="P398" s="240"/>
      <c r="Q398" s="241"/>
      <c r="R398" s="347"/>
      <c r="S398" s="272">
        <f>SUM(S399)</f>
        <v>14910</v>
      </c>
      <c r="T398" s="239">
        <f>SUM(T399)</f>
        <v>15270</v>
      </c>
      <c r="U398" s="151">
        <f>SUM(U399)</f>
        <v>360</v>
      </c>
      <c r="V398" s="240"/>
      <c r="W398" s="241"/>
      <c r="X398" s="92"/>
    </row>
    <row r="399" spans="1:24" s="7" customFormat="1" ht="15" customHeight="1">
      <c r="A399" s="76" t="s">
        <v>175</v>
      </c>
      <c r="B399" s="9" t="s">
        <v>7</v>
      </c>
      <c r="C399" s="256"/>
      <c r="D399" s="238">
        <v>95233.826</v>
      </c>
      <c r="E399" s="239">
        <v>97038.726</v>
      </c>
      <c r="F399" s="358">
        <f>E399-D399</f>
        <v>1804.8999999999942</v>
      </c>
      <c r="G399" s="272">
        <v>13918.7</v>
      </c>
      <c r="H399" s="239">
        <v>14591</v>
      </c>
      <c r="I399" s="155">
        <f>H399-G399</f>
        <v>672.2999999999993</v>
      </c>
      <c r="J399" s="240"/>
      <c r="K399" s="241"/>
      <c r="L399" s="338"/>
      <c r="M399" s="272">
        <v>14313.4</v>
      </c>
      <c r="N399" s="239">
        <v>15086</v>
      </c>
      <c r="O399" s="140">
        <f>N399-M399</f>
        <v>772.6000000000004</v>
      </c>
      <c r="P399" s="240"/>
      <c r="Q399" s="241"/>
      <c r="R399" s="338"/>
      <c r="S399" s="272">
        <v>14910</v>
      </c>
      <c r="T399" s="239">
        <v>15270</v>
      </c>
      <c r="U399" s="140">
        <f>T399-S399</f>
        <v>360</v>
      </c>
      <c r="V399" s="240"/>
      <c r="W399" s="241"/>
      <c r="X399" s="83"/>
    </row>
    <row r="400" spans="1:24" s="7" customFormat="1" ht="15" customHeight="1">
      <c r="A400" s="76"/>
      <c r="B400" s="9"/>
      <c r="C400" s="256"/>
      <c r="D400" s="238"/>
      <c r="E400" s="239"/>
      <c r="F400" s="371"/>
      <c r="G400" s="272"/>
      <c r="H400" s="239"/>
      <c r="I400" s="161"/>
      <c r="J400" s="240"/>
      <c r="K400" s="241"/>
      <c r="L400" s="347"/>
      <c r="M400" s="272"/>
      <c r="N400" s="239"/>
      <c r="O400" s="151"/>
      <c r="P400" s="240"/>
      <c r="Q400" s="241"/>
      <c r="R400" s="347"/>
      <c r="S400" s="272"/>
      <c r="T400" s="239"/>
      <c r="U400" s="151"/>
      <c r="V400" s="240"/>
      <c r="W400" s="241"/>
      <c r="X400" s="92"/>
    </row>
    <row r="401" spans="1:24" s="7" customFormat="1" ht="49.5" customHeight="1">
      <c r="A401" s="76" t="s">
        <v>176</v>
      </c>
      <c r="B401" s="9" t="s">
        <v>120</v>
      </c>
      <c r="C401" s="256"/>
      <c r="D401" s="238">
        <f aca="true" t="shared" si="151" ref="D401:I401">SUM(D402)</f>
        <v>81774.713</v>
      </c>
      <c r="E401" s="239">
        <f t="shared" si="151"/>
        <v>84971.813</v>
      </c>
      <c r="F401" s="371">
        <f t="shared" si="151"/>
        <v>3197.0999999999913</v>
      </c>
      <c r="G401" s="272">
        <f>SUM(G402)</f>
        <v>12994.6</v>
      </c>
      <c r="H401" s="239">
        <f>SUM(H402)</f>
        <v>12511</v>
      </c>
      <c r="I401" s="161">
        <f t="shared" si="151"/>
        <v>-483.60000000000036</v>
      </c>
      <c r="J401" s="240"/>
      <c r="K401" s="241"/>
      <c r="L401" s="347"/>
      <c r="M401" s="272">
        <f>SUM(M402)</f>
        <v>12169.3</v>
      </c>
      <c r="N401" s="239">
        <f>SUM(N402)</f>
        <v>12900</v>
      </c>
      <c r="O401" s="151">
        <f>SUM(O402)</f>
        <v>730.7000000000007</v>
      </c>
      <c r="P401" s="240"/>
      <c r="Q401" s="241"/>
      <c r="R401" s="347"/>
      <c r="S401" s="272">
        <f>SUM(S402)</f>
        <v>10500</v>
      </c>
      <c r="T401" s="239">
        <f>SUM(T402)</f>
        <v>13450</v>
      </c>
      <c r="U401" s="151">
        <f>SUM(U402)</f>
        <v>2950</v>
      </c>
      <c r="V401" s="240"/>
      <c r="W401" s="241"/>
      <c r="X401" s="92"/>
    </row>
    <row r="402" spans="1:24" s="7" customFormat="1" ht="15" customHeight="1">
      <c r="A402" s="76" t="s">
        <v>478</v>
      </c>
      <c r="B402" s="9" t="s">
        <v>7</v>
      </c>
      <c r="C402" s="256"/>
      <c r="D402" s="238">
        <v>81774.713</v>
      </c>
      <c r="E402" s="239">
        <v>84971.813</v>
      </c>
      <c r="F402" s="358">
        <f>E402-D402</f>
        <v>3197.0999999999913</v>
      </c>
      <c r="G402" s="272">
        <v>12994.6</v>
      </c>
      <c r="H402" s="239">
        <v>12511</v>
      </c>
      <c r="I402" s="155">
        <f>H402-G402</f>
        <v>-483.60000000000036</v>
      </c>
      <c r="J402" s="240"/>
      <c r="K402" s="241"/>
      <c r="L402" s="338"/>
      <c r="M402" s="272">
        <v>12169.3</v>
      </c>
      <c r="N402" s="239">
        <v>12900</v>
      </c>
      <c r="O402" s="140">
        <f>N402-M402</f>
        <v>730.7000000000007</v>
      </c>
      <c r="P402" s="240"/>
      <c r="Q402" s="241"/>
      <c r="R402" s="338"/>
      <c r="S402" s="272">
        <v>10500</v>
      </c>
      <c r="T402" s="239">
        <v>13450</v>
      </c>
      <c r="U402" s="140">
        <f>T402-S402</f>
        <v>2950</v>
      </c>
      <c r="V402" s="240"/>
      <c r="W402" s="241"/>
      <c r="X402" s="83"/>
    </row>
    <row r="403" spans="1:24" s="7" customFormat="1" ht="15" customHeight="1">
      <c r="A403" s="76"/>
      <c r="B403" s="9"/>
      <c r="C403" s="256"/>
      <c r="D403" s="238"/>
      <c r="E403" s="239"/>
      <c r="F403" s="358"/>
      <c r="G403" s="272"/>
      <c r="H403" s="239"/>
      <c r="I403" s="155"/>
      <c r="J403" s="240"/>
      <c r="K403" s="241"/>
      <c r="L403" s="338"/>
      <c r="M403" s="272"/>
      <c r="N403" s="239"/>
      <c r="O403" s="140"/>
      <c r="P403" s="240"/>
      <c r="Q403" s="241"/>
      <c r="R403" s="338"/>
      <c r="S403" s="272"/>
      <c r="T403" s="239"/>
      <c r="U403" s="140"/>
      <c r="V403" s="240"/>
      <c r="W403" s="241"/>
      <c r="X403" s="83"/>
    </row>
    <row r="404" spans="1:24" s="7" customFormat="1" ht="105" customHeight="1">
      <c r="A404" s="76" t="s">
        <v>484</v>
      </c>
      <c r="B404" s="26" t="s">
        <v>121</v>
      </c>
      <c r="C404" s="305" t="s">
        <v>654</v>
      </c>
      <c r="D404" s="285">
        <f aca="true" t="shared" si="152" ref="D404:I404">SUM(D405)</f>
        <v>2230</v>
      </c>
      <c r="E404" s="286">
        <f t="shared" si="152"/>
        <v>2180</v>
      </c>
      <c r="F404" s="360">
        <f t="shared" si="152"/>
        <v>-50</v>
      </c>
      <c r="G404" s="264">
        <f>SUM(G405)</f>
        <v>330</v>
      </c>
      <c r="H404" s="286">
        <f>SUM(H405)</f>
        <v>280</v>
      </c>
      <c r="I404" s="153">
        <f t="shared" si="152"/>
        <v>-50</v>
      </c>
      <c r="J404" s="306" t="s">
        <v>656</v>
      </c>
      <c r="K404" s="307" t="s">
        <v>656</v>
      </c>
      <c r="L404" s="346" t="s">
        <v>655</v>
      </c>
      <c r="M404" s="264">
        <f>SUM(M405)</f>
        <v>330</v>
      </c>
      <c r="N404" s="286">
        <f>SUM(N405)</f>
        <v>330</v>
      </c>
      <c r="O404" s="143">
        <f>SUM(O405)</f>
        <v>0</v>
      </c>
      <c r="P404" s="306" t="s">
        <v>657</v>
      </c>
      <c r="Q404" s="307" t="s">
        <v>657</v>
      </c>
      <c r="R404" s="346" t="s">
        <v>655</v>
      </c>
      <c r="S404" s="264">
        <f>SUM(S405)</f>
        <v>330</v>
      </c>
      <c r="T404" s="286">
        <f>SUM(T405)</f>
        <v>330</v>
      </c>
      <c r="U404" s="143">
        <f>SUM(U405)</f>
        <v>0</v>
      </c>
      <c r="V404" s="306" t="s">
        <v>657</v>
      </c>
      <c r="W404" s="307" t="s">
        <v>657</v>
      </c>
      <c r="X404" s="308" t="s">
        <v>655</v>
      </c>
    </row>
    <row r="405" spans="1:24" s="7" customFormat="1" ht="15" customHeight="1">
      <c r="A405" s="76" t="s">
        <v>487</v>
      </c>
      <c r="B405" s="9" t="s">
        <v>7</v>
      </c>
      <c r="C405" s="256"/>
      <c r="D405" s="238">
        <v>2230</v>
      </c>
      <c r="E405" s="239">
        <v>2180</v>
      </c>
      <c r="F405" s="358">
        <f>E405-D405</f>
        <v>-50</v>
      </c>
      <c r="G405" s="272">
        <v>330</v>
      </c>
      <c r="H405" s="239">
        <v>280</v>
      </c>
      <c r="I405" s="155">
        <f>H405-G405</f>
        <v>-50</v>
      </c>
      <c r="J405" s="240"/>
      <c r="K405" s="241"/>
      <c r="L405" s="338"/>
      <c r="M405" s="272">
        <v>330</v>
      </c>
      <c r="N405" s="239">
        <v>330</v>
      </c>
      <c r="O405" s="140">
        <f>N405-M405</f>
        <v>0</v>
      </c>
      <c r="P405" s="240"/>
      <c r="Q405" s="241"/>
      <c r="R405" s="338"/>
      <c r="S405" s="272">
        <v>330</v>
      </c>
      <c r="T405" s="239">
        <v>330</v>
      </c>
      <c r="U405" s="140">
        <f>T405-S405</f>
        <v>0</v>
      </c>
      <c r="V405" s="240"/>
      <c r="W405" s="241"/>
      <c r="X405" s="83"/>
    </row>
    <row r="406" spans="1:24" s="7" customFormat="1" ht="15" customHeight="1">
      <c r="A406" s="76"/>
      <c r="B406" s="9"/>
      <c r="C406" s="256"/>
      <c r="D406" s="238"/>
      <c r="E406" s="239"/>
      <c r="F406" s="358"/>
      <c r="G406" s="272"/>
      <c r="H406" s="239"/>
      <c r="I406" s="155"/>
      <c r="J406" s="240"/>
      <c r="K406" s="241"/>
      <c r="L406" s="338"/>
      <c r="M406" s="272"/>
      <c r="N406" s="239"/>
      <c r="O406" s="140"/>
      <c r="P406" s="240"/>
      <c r="Q406" s="241"/>
      <c r="R406" s="338"/>
      <c r="S406" s="272"/>
      <c r="T406" s="239"/>
      <c r="U406" s="140"/>
      <c r="V406" s="240"/>
      <c r="W406" s="241"/>
      <c r="X406" s="83"/>
    </row>
    <row r="407" spans="1:24" s="7" customFormat="1" ht="99" customHeight="1">
      <c r="A407" s="76" t="s">
        <v>488</v>
      </c>
      <c r="B407" s="26" t="s">
        <v>122</v>
      </c>
      <c r="C407" s="305" t="s">
        <v>658</v>
      </c>
      <c r="D407" s="285">
        <f aca="true" t="shared" si="153" ref="D407:I407">SUM(D408)</f>
        <v>313.863</v>
      </c>
      <c r="E407" s="286">
        <f t="shared" si="153"/>
        <v>133.863</v>
      </c>
      <c r="F407" s="360">
        <f t="shared" si="153"/>
        <v>-180</v>
      </c>
      <c r="G407" s="264">
        <f>SUM(G408)</f>
        <v>60</v>
      </c>
      <c r="H407" s="286">
        <f>SUM(H408)</f>
        <v>0</v>
      </c>
      <c r="I407" s="153">
        <f t="shared" si="153"/>
        <v>-60</v>
      </c>
      <c r="J407" s="306" t="s">
        <v>660</v>
      </c>
      <c r="K407" s="307" t="s">
        <v>660</v>
      </c>
      <c r="L407" s="346" t="s">
        <v>659</v>
      </c>
      <c r="M407" s="264">
        <f>SUM(M408)</f>
        <v>60</v>
      </c>
      <c r="N407" s="286">
        <f>SUM(N408)</f>
        <v>0</v>
      </c>
      <c r="O407" s="143">
        <f>SUM(O408)</f>
        <v>-60</v>
      </c>
      <c r="P407" s="306" t="s">
        <v>661</v>
      </c>
      <c r="Q407" s="307" t="s">
        <v>661</v>
      </c>
      <c r="R407" s="346" t="s">
        <v>659</v>
      </c>
      <c r="S407" s="264">
        <f>SUM(S408)</f>
        <v>60</v>
      </c>
      <c r="T407" s="286">
        <f>SUM(T408)</f>
        <v>0</v>
      </c>
      <c r="U407" s="143">
        <f>SUM(U408)</f>
        <v>-60</v>
      </c>
      <c r="V407" s="306" t="s">
        <v>661</v>
      </c>
      <c r="W407" s="307" t="s">
        <v>661</v>
      </c>
      <c r="X407" s="308" t="s">
        <v>659</v>
      </c>
    </row>
    <row r="408" spans="1:24" s="7" customFormat="1" ht="15" customHeight="1">
      <c r="A408" s="76" t="s">
        <v>489</v>
      </c>
      <c r="B408" s="9" t="s">
        <v>7</v>
      </c>
      <c r="C408" s="256"/>
      <c r="D408" s="238">
        <v>313.863</v>
      </c>
      <c r="E408" s="239">
        <v>133.863</v>
      </c>
      <c r="F408" s="358">
        <f>E408-D408</f>
        <v>-180</v>
      </c>
      <c r="G408" s="272">
        <v>60</v>
      </c>
      <c r="H408" s="239">
        <v>0</v>
      </c>
      <c r="I408" s="155">
        <f>H408-G408</f>
        <v>-60</v>
      </c>
      <c r="J408" s="240"/>
      <c r="K408" s="241"/>
      <c r="L408" s="338"/>
      <c r="M408" s="272">
        <v>60</v>
      </c>
      <c r="N408" s="239">
        <v>0</v>
      </c>
      <c r="O408" s="140">
        <f>N408-M408</f>
        <v>-60</v>
      </c>
      <c r="P408" s="240"/>
      <c r="Q408" s="241"/>
      <c r="R408" s="338"/>
      <c r="S408" s="272">
        <v>60</v>
      </c>
      <c r="T408" s="239">
        <v>0</v>
      </c>
      <c r="U408" s="140">
        <f>T408-S408</f>
        <v>-60</v>
      </c>
      <c r="V408" s="240"/>
      <c r="W408" s="241"/>
      <c r="X408" s="83"/>
    </row>
    <row r="409" spans="1:24" s="7" customFormat="1" ht="15" customHeight="1">
      <c r="A409" s="76"/>
      <c r="B409" s="9"/>
      <c r="C409" s="256"/>
      <c r="D409" s="238"/>
      <c r="E409" s="239"/>
      <c r="F409" s="358"/>
      <c r="G409" s="272"/>
      <c r="H409" s="239"/>
      <c r="I409" s="155"/>
      <c r="J409" s="240"/>
      <c r="K409" s="241"/>
      <c r="L409" s="338"/>
      <c r="M409" s="272"/>
      <c r="N409" s="239"/>
      <c r="O409" s="140"/>
      <c r="P409" s="240"/>
      <c r="Q409" s="241"/>
      <c r="R409" s="338"/>
      <c r="S409" s="272"/>
      <c r="T409" s="239"/>
      <c r="U409" s="140"/>
      <c r="V409" s="240"/>
      <c r="W409" s="241"/>
      <c r="X409" s="83"/>
    </row>
    <row r="410" spans="1:24" s="7" customFormat="1" ht="47.25" customHeight="1">
      <c r="A410" s="76" t="s">
        <v>508</v>
      </c>
      <c r="B410" s="26" t="s">
        <v>123</v>
      </c>
      <c r="C410" s="305" t="s">
        <v>662</v>
      </c>
      <c r="D410" s="285">
        <f aca="true" t="shared" si="154" ref="D410:I410">SUM(D411)</f>
        <v>310</v>
      </c>
      <c r="E410" s="286">
        <f t="shared" si="154"/>
        <v>160</v>
      </c>
      <c r="F410" s="361">
        <f t="shared" si="154"/>
        <v>-150</v>
      </c>
      <c r="G410" s="264">
        <f>SUM(G411)</f>
        <v>50</v>
      </c>
      <c r="H410" s="286">
        <f>SUM(H411)</f>
        <v>0</v>
      </c>
      <c r="I410" s="143">
        <f t="shared" si="154"/>
        <v>-50</v>
      </c>
      <c r="J410" s="306" t="s">
        <v>664</v>
      </c>
      <c r="K410" s="307" t="s">
        <v>664</v>
      </c>
      <c r="L410" s="346" t="s">
        <v>663</v>
      </c>
      <c r="M410" s="264">
        <f>SUM(M411)</f>
        <v>50</v>
      </c>
      <c r="N410" s="286">
        <f>SUM(N411)</f>
        <v>0</v>
      </c>
      <c r="O410" s="143">
        <f>SUM(O411)</f>
        <v>-50</v>
      </c>
      <c r="P410" s="306" t="s">
        <v>665</v>
      </c>
      <c r="Q410" s="307" t="s">
        <v>665</v>
      </c>
      <c r="R410" s="346" t="s">
        <v>663</v>
      </c>
      <c r="S410" s="264">
        <f>SUM(S411)</f>
        <v>50</v>
      </c>
      <c r="T410" s="286">
        <f>SUM(T411)</f>
        <v>0</v>
      </c>
      <c r="U410" s="143">
        <f>SUM(U411)</f>
        <v>-50</v>
      </c>
      <c r="V410" s="306" t="s">
        <v>718</v>
      </c>
      <c r="W410" s="307" t="s">
        <v>718</v>
      </c>
      <c r="X410" s="308" t="s">
        <v>663</v>
      </c>
    </row>
    <row r="411" spans="1:24" s="7" customFormat="1" ht="15.75" customHeight="1">
      <c r="A411" s="75" t="s">
        <v>509</v>
      </c>
      <c r="B411" s="9" t="s">
        <v>7</v>
      </c>
      <c r="C411" s="256"/>
      <c r="D411" s="238">
        <v>310</v>
      </c>
      <c r="E411" s="239">
        <v>160</v>
      </c>
      <c r="F411" s="358">
        <f>E411-D411</f>
        <v>-150</v>
      </c>
      <c r="G411" s="272">
        <v>50</v>
      </c>
      <c r="H411" s="239">
        <v>0</v>
      </c>
      <c r="I411" s="155">
        <f>H411-G411</f>
        <v>-50</v>
      </c>
      <c r="J411" s="240"/>
      <c r="K411" s="241"/>
      <c r="L411" s="341"/>
      <c r="M411" s="272">
        <v>50</v>
      </c>
      <c r="N411" s="239">
        <v>0</v>
      </c>
      <c r="O411" s="155">
        <f>N411-M411</f>
        <v>-50</v>
      </c>
      <c r="P411" s="240"/>
      <c r="Q411" s="241"/>
      <c r="R411" s="341"/>
      <c r="S411" s="272">
        <v>50</v>
      </c>
      <c r="T411" s="239">
        <v>0</v>
      </c>
      <c r="U411" s="155">
        <f>T411-S411</f>
        <v>-50</v>
      </c>
      <c r="V411" s="240"/>
      <c r="W411" s="241"/>
      <c r="X411" s="87"/>
    </row>
    <row r="412" spans="1:24" s="7" customFormat="1" ht="15.75" customHeight="1">
      <c r="A412" s="75"/>
      <c r="B412" s="9"/>
      <c r="C412" s="256"/>
      <c r="D412" s="239"/>
      <c r="E412" s="239"/>
      <c r="F412" s="355"/>
      <c r="G412" s="272"/>
      <c r="H412" s="239"/>
      <c r="I412" s="140"/>
      <c r="J412" s="240"/>
      <c r="K412" s="241"/>
      <c r="L412" s="338"/>
      <c r="M412" s="272"/>
      <c r="N412" s="239"/>
      <c r="O412" s="140"/>
      <c r="P412" s="240"/>
      <c r="Q412" s="241"/>
      <c r="R412" s="338"/>
      <c r="S412" s="272"/>
      <c r="T412" s="239"/>
      <c r="U412" s="140"/>
      <c r="V412" s="240"/>
      <c r="W412" s="241"/>
      <c r="X412" s="83"/>
    </row>
    <row r="413" spans="1:24" s="6" customFormat="1" ht="15" customHeight="1">
      <c r="A413" s="125"/>
      <c r="B413" s="255"/>
      <c r="C413" s="301"/>
      <c r="D413" s="380" t="s">
        <v>67</v>
      </c>
      <c r="E413" s="381"/>
      <c r="F413" s="381"/>
      <c r="G413" s="381"/>
      <c r="H413" s="381"/>
      <c r="I413" s="381"/>
      <c r="J413" s="381"/>
      <c r="K413" s="381"/>
      <c r="L413" s="421"/>
      <c r="M413" s="381" t="s">
        <v>67</v>
      </c>
      <c r="N413" s="381"/>
      <c r="O413" s="381"/>
      <c r="P413" s="381"/>
      <c r="Q413" s="381"/>
      <c r="R413" s="381"/>
      <c r="S413" s="381"/>
      <c r="T413" s="381"/>
      <c r="U413" s="381"/>
      <c r="V413" s="381"/>
      <c r="W413" s="381"/>
      <c r="X413" s="381"/>
    </row>
    <row r="414" spans="1:24" s="7" customFormat="1" ht="15.75">
      <c r="A414" s="76" t="s">
        <v>510</v>
      </c>
      <c r="B414" s="26" t="s">
        <v>68</v>
      </c>
      <c r="C414" s="256"/>
      <c r="D414" s="257">
        <f aca="true" t="shared" si="155" ref="D414:I414">SUM(D415:D418)</f>
        <v>184195</v>
      </c>
      <c r="E414" s="258">
        <f t="shared" si="155"/>
        <v>88823</v>
      </c>
      <c r="F414" s="360">
        <f t="shared" si="155"/>
        <v>-95372</v>
      </c>
      <c r="G414" s="268">
        <f>SUM(G415:G418)</f>
        <v>34360</v>
      </c>
      <c r="H414" s="258">
        <f>SUM(H415:H418)</f>
        <v>0</v>
      </c>
      <c r="I414" s="153">
        <f t="shared" si="155"/>
        <v>-34360</v>
      </c>
      <c r="J414" s="259"/>
      <c r="K414" s="260"/>
      <c r="L414" s="351"/>
      <c r="M414" s="268">
        <f>SUM(M415:M418)</f>
        <v>34330</v>
      </c>
      <c r="N414" s="258">
        <f>SUM(N415:N418)</f>
        <v>0</v>
      </c>
      <c r="O414" s="153">
        <f>SUM(O415:O418)</f>
        <v>-34330</v>
      </c>
      <c r="P414" s="259"/>
      <c r="Q414" s="260"/>
      <c r="R414" s="351"/>
      <c r="S414" s="268">
        <f>SUM(S415:S418)</f>
        <v>26682</v>
      </c>
      <c r="T414" s="258">
        <f>SUM(T415:T418)</f>
        <v>0</v>
      </c>
      <c r="U414" s="153">
        <f>SUM(U415:U418)</f>
        <v>-26682</v>
      </c>
      <c r="V414" s="259"/>
      <c r="W414" s="260"/>
      <c r="X414" s="86"/>
    </row>
    <row r="415" spans="1:24" s="7" customFormat="1" ht="15" customHeight="1">
      <c r="A415" s="76" t="s">
        <v>511</v>
      </c>
      <c r="B415" s="9" t="s">
        <v>7</v>
      </c>
      <c r="C415" s="256"/>
      <c r="D415" s="251">
        <f aca="true" t="shared" si="156" ref="D415:I415">SUM(D421+D427)</f>
        <v>760</v>
      </c>
      <c r="E415" s="252">
        <f t="shared" si="156"/>
        <v>0</v>
      </c>
      <c r="F415" s="355">
        <f t="shared" si="156"/>
        <v>-760</v>
      </c>
      <c r="G415" s="272">
        <f>SUM(G421+G427)</f>
        <v>140</v>
      </c>
      <c r="H415" s="239">
        <f>SUM(H421+H427)</f>
        <v>0</v>
      </c>
      <c r="I415" s="140">
        <f t="shared" si="156"/>
        <v>-140</v>
      </c>
      <c r="J415" s="253"/>
      <c r="K415" s="254"/>
      <c r="L415" s="338"/>
      <c r="M415" s="272">
        <f>SUM(M421+M427)</f>
        <v>110</v>
      </c>
      <c r="N415" s="239">
        <f>SUM(N421+N427)</f>
        <v>0</v>
      </c>
      <c r="O415" s="140">
        <f>SUM(O421+O427)</f>
        <v>-110</v>
      </c>
      <c r="P415" s="253"/>
      <c r="Q415" s="254"/>
      <c r="R415" s="338"/>
      <c r="S415" s="272">
        <f>SUM(S421+S427)</f>
        <v>510</v>
      </c>
      <c r="T415" s="239">
        <f>SUM(T421+T427)</f>
        <v>0</v>
      </c>
      <c r="U415" s="140">
        <f>SUM(U421+U427)</f>
        <v>-510</v>
      </c>
      <c r="V415" s="253"/>
      <c r="W415" s="254"/>
      <c r="X415" s="83"/>
    </row>
    <row r="416" spans="1:24" s="7" customFormat="1" ht="15" customHeight="1">
      <c r="A416" s="76" t="s">
        <v>512</v>
      </c>
      <c r="B416" s="9" t="s">
        <v>8</v>
      </c>
      <c r="C416" s="256"/>
      <c r="D416" s="251"/>
      <c r="E416" s="252"/>
      <c r="F416" s="358"/>
      <c r="G416" s="276"/>
      <c r="H416" s="252"/>
      <c r="I416" s="155"/>
      <c r="J416" s="253"/>
      <c r="K416" s="254"/>
      <c r="L416" s="341"/>
      <c r="M416" s="276"/>
      <c r="N416" s="252"/>
      <c r="O416" s="155"/>
      <c r="P416" s="253"/>
      <c r="Q416" s="254"/>
      <c r="R416" s="341"/>
      <c r="S416" s="276"/>
      <c r="T416" s="252"/>
      <c r="U416" s="155"/>
      <c r="V416" s="253"/>
      <c r="W416" s="254"/>
      <c r="X416" s="87"/>
    </row>
    <row r="417" spans="1:24" s="7" customFormat="1" ht="15" customHeight="1">
      <c r="A417" s="76" t="s">
        <v>513</v>
      </c>
      <c r="B417" s="9" t="s">
        <v>9</v>
      </c>
      <c r="C417" s="256"/>
      <c r="D417" s="251">
        <f aca="true" t="shared" si="157" ref="D417:I417">SUM(D429)</f>
        <v>183435</v>
      </c>
      <c r="E417" s="252">
        <f t="shared" si="157"/>
        <v>88823</v>
      </c>
      <c r="F417" s="358">
        <f t="shared" si="157"/>
        <v>-94612</v>
      </c>
      <c r="G417" s="276">
        <f>SUM(G429)</f>
        <v>34220</v>
      </c>
      <c r="H417" s="252">
        <f>SUM(H429)</f>
        <v>0</v>
      </c>
      <c r="I417" s="155">
        <f t="shared" si="157"/>
        <v>-34220</v>
      </c>
      <c r="J417" s="253"/>
      <c r="K417" s="254"/>
      <c r="L417" s="341"/>
      <c r="M417" s="276">
        <f>SUM(M429)</f>
        <v>34220</v>
      </c>
      <c r="N417" s="252">
        <f>SUM(N429)</f>
        <v>0</v>
      </c>
      <c r="O417" s="155">
        <f>SUM(O429)</f>
        <v>-34220</v>
      </c>
      <c r="P417" s="253"/>
      <c r="Q417" s="254"/>
      <c r="R417" s="341"/>
      <c r="S417" s="276">
        <f>SUM(S429)</f>
        <v>26172</v>
      </c>
      <c r="T417" s="252">
        <f>SUM(T429)</f>
        <v>0</v>
      </c>
      <c r="U417" s="155">
        <f>SUM(U429)</f>
        <v>-26172</v>
      </c>
      <c r="V417" s="253"/>
      <c r="W417" s="254"/>
      <c r="X417" s="87"/>
    </row>
    <row r="418" spans="1:24" s="7" customFormat="1" ht="15" customHeight="1">
      <c r="A418" s="76" t="s">
        <v>514</v>
      </c>
      <c r="B418" s="9" t="s">
        <v>10</v>
      </c>
      <c r="C418" s="256"/>
      <c r="D418" s="251"/>
      <c r="E418" s="252"/>
      <c r="F418" s="358"/>
      <c r="G418" s="276"/>
      <c r="H418" s="252"/>
      <c r="I418" s="155"/>
      <c r="J418" s="253"/>
      <c r="K418" s="254"/>
      <c r="L418" s="341"/>
      <c r="M418" s="276"/>
      <c r="N418" s="252"/>
      <c r="O418" s="155"/>
      <c r="P418" s="253"/>
      <c r="Q418" s="254"/>
      <c r="R418" s="341"/>
      <c r="S418" s="276"/>
      <c r="T418" s="252"/>
      <c r="U418" s="155"/>
      <c r="V418" s="253"/>
      <c r="W418" s="254"/>
      <c r="X418" s="87"/>
    </row>
    <row r="419" spans="1:24" s="7" customFormat="1" ht="15" customHeight="1">
      <c r="A419" s="126"/>
      <c r="B419" s="261"/>
      <c r="C419" s="262"/>
      <c r="D419" s="389" t="s">
        <v>11</v>
      </c>
      <c r="E419" s="390"/>
      <c r="F419" s="390"/>
      <c r="G419" s="390"/>
      <c r="H419" s="390"/>
      <c r="I419" s="390"/>
      <c r="J419" s="390"/>
      <c r="K419" s="390"/>
      <c r="L419" s="419"/>
      <c r="M419" s="390" t="s">
        <v>11</v>
      </c>
      <c r="N419" s="390"/>
      <c r="O419" s="390"/>
      <c r="P419" s="390"/>
      <c r="Q419" s="390"/>
      <c r="R419" s="390"/>
      <c r="S419" s="390"/>
      <c r="T419" s="390"/>
      <c r="U419" s="390"/>
      <c r="V419" s="390"/>
      <c r="W419" s="390"/>
      <c r="X419" s="390"/>
    </row>
    <row r="420" spans="1:24" s="7" customFormat="1" ht="35.25" customHeight="1">
      <c r="A420" s="76" t="s">
        <v>515</v>
      </c>
      <c r="B420" s="26" t="s">
        <v>32</v>
      </c>
      <c r="C420" s="256"/>
      <c r="D420" s="257"/>
      <c r="E420" s="258"/>
      <c r="F420" s="360"/>
      <c r="G420" s="268"/>
      <c r="H420" s="258"/>
      <c r="I420" s="153"/>
      <c r="J420" s="259"/>
      <c r="K420" s="260"/>
      <c r="L420" s="351"/>
      <c r="M420" s="268"/>
      <c r="N420" s="258"/>
      <c r="O420" s="153"/>
      <c r="P420" s="259"/>
      <c r="Q420" s="260"/>
      <c r="R420" s="351"/>
      <c r="S420" s="268"/>
      <c r="T420" s="258"/>
      <c r="U420" s="153"/>
      <c r="V420" s="259"/>
      <c r="W420" s="260"/>
      <c r="X420" s="86"/>
    </row>
    <row r="421" spans="1:24" s="7" customFormat="1" ht="15" customHeight="1">
      <c r="A421" s="76" t="s">
        <v>516</v>
      </c>
      <c r="B421" s="9" t="s">
        <v>7</v>
      </c>
      <c r="C421" s="256"/>
      <c r="D421" s="251"/>
      <c r="E421" s="252"/>
      <c r="F421" s="358"/>
      <c r="G421" s="276"/>
      <c r="H421" s="252"/>
      <c r="I421" s="155"/>
      <c r="J421" s="253"/>
      <c r="K421" s="254"/>
      <c r="L421" s="341"/>
      <c r="M421" s="276"/>
      <c r="N421" s="252"/>
      <c r="O421" s="155"/>
      <c r="P421" s="253"/>
      <c r="Q421" s="254"/>
      <c r="R421" s="87"/>
      <c r="S421" s="251"/>
      <c r="T421" s="252"/>
      <c r="U421" s="155"/>
      <c r="V421" s="253"/>
      <c r="W421" s="254"/>
      <c r="X421" s="87"/>
    </row>
    <row r="422" spans="1:24" s="7" customFormat="1" ht="15" customHeight="1">
      <c r="A422" s="129"/>
      <c r="B422" s="318"/>
      <c r="C422" s="319"/>
      <c r="D422" s="402" t="s">
        <v>12</v>
      </c>
      <c r="E422" s="403"/>
      <c r="F422" s="403"/>
      <c r="G422" s="403"/>
      <c r="H422" s="403"/>
      <c r="I422" s="403"/>
      <c r="J422" s="403"/>
      <c r="K422" s="403"/>
      <c r="L422" s="420"/>
      <c r="M422" s="403" t="s">
        <v>12</v>
      </c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7" customFormat="1" ht="48.75" customHeight="1">
      <c r="A423" s="76" t="s">
        <v>517</v>
      </c>
      <c r="B423" s="26" t="s">
        <v>101</v>
      </c>
      <c r="C423" s="256"/>
      <c r="D423" s="257"/>
      <c r="E423" s="258"/>
      <c r="F423" s="360"/>
      <c r="G423" s="268"/>
      <c r="H423" s="258"/>
      <c r="I423" s="153"/>
      <c r="J423" s="259"/>
      <c r="K423" s="260"/>
      <c r="L423" s="351"/>
      <c r="M423" s="268"/>
      <c r="N423" s="258"/>
      <c r="O423" s="153"/>
      <c r="P423" s="259"/>
      <c r="Q423" s="260"/>
      <c r="R423" s="351"/>
      <c r="S423" s="268"/>
      <c r="T423" s="258"/>
      <c r="U423" s="153"/>
      <c r="V423" s="259"/>
      <c r="W423" s="260"/>
      <c r="X423" s="86"/>
    </row>
    <row r="424" spans="1:24" s="7" customFormat="1" ht="15" customHeight="1">
      <c r="A424" s="76" t="s">
        <v>518</v>
      </c>
      <c r="B424" s="9" t="s">
        <v>7</v>
      </c>
      <c r="C424" s="256"/>
      <c r="D424" s="251"/>
      <c r="E424" s="252"/>
      <c r="F424" s="358"/>
      <c r="G424" s="276"/>
      <c r="H424" s="252"/>
      <c r="I424" s="155"/>
      <c r="J424" s="253"/>
      <c r="K424" s="254"/>
      <c r="L424" s="341"/>
      <c r="M424" s="276"/>
      <c r="N424" s="252"/>
      <c r="O424" s="155"/>
      <c r="P424" s="253"/>
      <c r="Q424" s="254"/>
      <c r="R424" s="341"/>
      <c r="S424" s="276"/>
      <c r="T424" s="252"/>
      <c r="U424" s="155"/>
      <c r="V424" s="253"/>
      <c r="W424" s="254"/>
      <c r="X424" s="87"/>
    </row>
    <row r="425" spans="1:24" s="7" customFormat="1" ht="15" customHeight="1">
      <c r="A425" s="126"/>
      <c r="B425" s="261"/>
      <c r="C425" s="262"/>
      <c r="D425" s="389" t="s">
        <v>15</v>
      </c>
      <c r="E425" s="390"/>
      <c r="F425" s="390"/>
      <c r="G425" s="390"/>
      <c r="H425" s="390"/>
      <c r="I425" s="390"/>
      <c r="J425" s="390"/>
      <c r="K425" s="390"/>
      <c r="L425" s="419"/>
      <c r="M425" s="400" t="s">
        <v>15</v>
      </c>
      <c r="N425" s="400"/>
      <c r="O425" s="400"/>
      <c r="P425" s="400"/>
      <c r="Q425" s="400"/>
      <c r="R425" s="400"/>
      <c r="S425" s="400"/>
      <c r="T425" s="400"/>
      <c r="U425" s="400"/>
      <c r="V425" s="400"/>
      <c r="W425" s="400"/>
      <c r="X425" s="326"/>
    </row>
    <row r="426" spans="1:24" s="7" customFormat="1" ht="31.5">
      <c r="A426" s="76" t="s">
        <v>519</v>
      </c>
      <c r="B426" s="26" t="s">
        <v>16</v>
      </c>
      <c r="C426" s="256"/>
      <c r="D426" s="257">
        <f aca="true" t="shared" si="158" ref="D426:I426">SUM(D427:D429)</f>
        <v>184195</v>
      </c>
      <c r="E426" s="258">
        <f t="shared" si="158"/>
        <v>88823</v>
      </c>
      <c r="F426" s="361">
        <f>E426-D426</f>
        <v>-95372</v>
      </c>
      <c r="G426" s="264">
        <f>SUM(G427:G429)</f>
        <v>34360</v>
      </c>
      <c r="H426" s="286">
        <f>SUM(H427:H429)</f>
        <v>0</v>
      </c>
      <c r="I426" s="153">
        <f t="shared" si="158"/>
        <v>-34360</v>
      </c>
      <c r="J426" s="288"/>
      <c r="K426" s="289"/>
      <c r="L426" s="343"/>
      <c r="M426" s="264">
        <f>SUM(M427:M429)</f>
        <v>34330</v>
      </c>
      <c r="N426" s="286">
        <f>SUM(N427:N429)</f>
        <v>0</v>
      </c>
      <c r="O426" s="143">
        <f>SUM(O427:O429)</f>
        <v>-34330</v>
      </c>
      <c r="P426" s="288"/>
      <c r="Q426" s="289"/>
      <c r="R426" s="343"/>
      <c r="S426" s="264">
        <f>SUM(S427:S429)</f>
        <v>26682</v>
      </c>
      <c r="T426" s="286">
        <f>SUM(T427:T429)</f>
        <v>0</v>
      </c>
      <c r="U426" s="143">
        <f>SUM(U427:U429)</f>
        <v>-26682</v>
      </c>
      <c r="V426" s="288"/>
      <c r="W426" s="289"/>
      <c r="X426" s="85"/>
    </row>
    <row r="427" spans="1:24" s="7" customFormat="1" ht="15" customHeight="1">
      <c r="A427" s="76" t="s">
        <v>520</v>
      </c>
      <c r="B427" s="9" t="s">
        <v>7</v>
      </c>
      <c r="C427" s="256"/>
      <c r="D427" s="251">
        <f aca="true" t="shared" si="159" ref="D427:I427">SUM(D435+D438+D441+D444)</f>
        <v>760</v>
      </c>
      <c r="E427" s="252">
        <f t="shared" si="159"/>
        <v>0</v>
      </c>
      <c r="F427" s="355">
        <f>E427-D427</f>
        <v>-760</v>
      </c>
      <c r="G427" s="272">
        <f>SUM(G435+G438+G441+G444)</f>
        <v>140</v>
      </c>
      <c r="H427" s="239">
        <f>SUM(H435+H438+H441+H444)</f>
        <v>0</v>
      </c>
      <c r="I427" s="155">
        <f t="shared" si="159"/>
        <v>-140</v>
      </c>
      <c r="J427" s="240"/>
      <c r="K427" s="241"/>
      <c r="L427" s="338"/>
      <c r="M427" s="272">
        <f>SUM(M435+M438+M441+M444)</f>
        <v>110</v>
      </c>
      <c r="N427" s="239">
        <f>SUM(N435+N438+N441+N444)</f>
        <v>0</v>
      </c>
      <c r="O427" s="140">
        <f>SUM(O435+O438+O441+O444)</f>
        <v>-110</v>
      </c>
      <c r="P427" s="240"/>
      <c r="Q427" s="241"/>
      <c r="R427" s="338"/>
      <c r="S427" s="272">
        <f>SUM(S435+S438+S441+S444)</f>
        <v>510</v>
      </c>
      <c r="T427" s="239">
        <f>SUM(T435+T438+T441+T444)</f>
        <v>0</v>
      </c>
      <c r="U427" s="140">
        <f>SUM(U435+U438+U441+U444)</f>
        <v>-510</v>
      </c>
      <c r="V427" s="240"/>
      <c r="W427" s="241"/>
      <c r="X427" s="83"/>
    </row>
    <row r="428" spans="1:24" s="7" customFormat="1" ht="15" customHeight="1">
      <c r="A428" s="76" t="s">
        <v>521</v>
      </c>
      <c r="B428" s="9" t="s">
        <v>8</v>
      </c>
      <c r="C428" s="256"/>
      <c r="D428" s="251">
        <v>0</v>
      </c>
      <c r="E428" s="252">
        <v>0</v>
      </c>
      <c r="F428" s="355">
        <f>E428-D428</f>
        <v>0</v>
      </c>
      <c r="G428" s="272">
        <v>0</v>
      </c>
      <c r="H428" s="239">
        <v>0</v>
      </c>
      <c r="I428" s="155">
        <v>0</v>
      </c>
      <c r="J428" s="240"/>
      <c r="K428" s="241"/>
      <c r="L428" s="338"/>
      <c r="M428" s="272">
        <v>0</v>
      </c>
      <c r="N428" s="239">
        <v>0</v>
      </c>
      <c r="O428" s="140">
        <v>0</v>
      </c>
      <c r="P428" s="240"/>
      <c r="Q428" s="241"/>
      <c r="R428" s="338"/>
      <c r="S428" s="272">
        <v>0</v>
      </c>
      <c r="T428" s="239">
        <v>0</v>
      </c>
      <c r="U428" s="140">
        <v>0</v>
      </c>
      <c r="V428" s="240"/>
      <c r="W428" s="241"/>
      <c r="X428" s="83"/>
    </row>
    <row r="429" spans="1:24" s="7" customFormat="1" ht="15" customHeight="1">
      <c r="A429" s="76" t="s">
        <v>522</v>
      </c>
      <c r="B429" s="9" t="s">
        <v>9</v>
      </c>
      <c r="C429" s="256"/>
      <c r="D429" s="238">
        <f aca="true" t="shared" si="160" ref="D429:I429">SUM(D432)</f>
        <v>183435</v>
      </c>
      <c r="E429" s="239">
        <f t="shared" si="160"/>
        <v>88823</v>
      </c>
      <c r="F429" s="355">
        <f>E429-D429</f>
        <v>-94612</v>
      </c>
      <c r="G429" s="272">
        <f>SUM(G432)</f>
        <v>34220</v>
      </c>
      <c r="H429" s="239">
        <f>SUM(H432)</f>
        <v>0</v>
      </c>
      <c r="I429" s="140">
        <f t="shared" si="160"/>
        <v>-34220</v>
      </c>
      <c r="J429" s="240"/>
      <c r="K429" s="241"/>
      <c r="L429" s="338"/>
      <c r="M429" s="272">
        <f>SUM(M432)</f>
        <v>34220</v>
      </c>
      <c r="N429" s="239">
        <f>SUM(N432)</f>
        <v>0</v>
      </c>
      <c r="O429" s="140">
        <f>SUM(O432)</f>
        <v>-34220</v>
      </c>
      <c r="P429" s="240"/>
      <c r="Q429" s="241"/>
      <c r="R429" s="338"/>
      <c r="S429" s="272">
        <f>SUM(S432)</f>
        <v>26172</v>
      </c>
      <c r="T429" s="239">
        <f>SUM(T432)</f>
        <v>0</v>
      </c>
      <c r="U429" s="140">
        <f>SUM(U432)</f>
        <v>-26172</v>
      </c>
      <c r="V429" s="240"/>
      <c r="W429" s="241"/>
      <c r="X429" s="83"/>
    </row>
    <row r="430" spans="1:24" s="7" customFormat="1" ht="15" customHeight="1">
      <c r="A430" s="76"/>
      <c r="B430" s="9"/>
      <c r="C430" s="256"/>
      <c r="D430" s="239"/>
      <c r="E430" s="239"/>
      <c r="F430" s="355"/>
      <c r="G430" s="272"/>
      <c r="H430" s="239"/>
      <c r="I430" s="140"/>
      <c r="J430" s="240"/>
      <c r="K430" s="241"/>
      <c r="L430" s="338"/>
      <c r="M430" s="272"/>
      <c r="N430" s="239"/>
      <c r="O430" s="140"/>
      <c r="P430" s="240"/>
      <c r="Q430" s="241"/>
      <c r="R430" s="338"/>
      <c r="S430" s="272"/>
      <c r="T430" s="239"/>
      <c r="U430" s="140"/>
      <c r="V430" s="240"/>
      <c r="W430" s="241"/>
      <c r="X430" s="83"/>
    </row>
    <row r="431" spans="1:24" s="7" customFormat="1" ht="64.5" customHeight="1">
      <c r="A431" s="76" t="s">
        <v>523</v>
      </c>
      <c r="B431" s="26" t="s">
        <v>69</v>
      </c>
      <c r="C431" s="305" t="s">
        <v>666</v>
      </c>
      <c r="D431" s="285">
        <f aca="true" t="shared" si="161" ref="D431:I431">SUM(D432)</f>
        <v>183435</v>
      </c>
      <c r="E431" s="286">
        <f t="shared" si="161"/>
        <v>88823</v>
      </c>
      <c r="F431" s="361">
        <f>E431-D431</f>
        <v>-94612</v>
      </c>
      <c r="G431" s="264">
        <f>SUM(G432)</f>
        <v>34220</v>
      </c>
      <c r="H431" s="286">
        <f>SUM(H432)</f>
        <v>0</v>
      </c>
      <c r="I431" s="143">
        <f t="shared" si="161"/>
        <v>-34220</v>
      </c>
      <c r="J431" s="306" t="s">
        <v>668</v>
      </c>
      <c r="K431" s="307" t="s">
        <v>668</v>
      </c>
      <c r="L431" s="346" t="s">
        <v>667</v>
      </c>
      <c r="M431" s="264">
        <f>SUM(M432)</f>
        <v>34220</v>
      </c>
      <c r="N431" s="286">
        <f>SUM(N432)</f>
        <v>0</v>
      </c>
      <c r="O431" s="143">
        <f>SUM(O432)</f>
        <v>-34220</v>
      </c>
      <c r="P431" s="306" t="s">
        <v>668</v>
      </c>
      <c r="Q431" s="307" t="s">
        <v>668</v>
      </c>
      <c r="R431" s="346" t="s">
        <v>667</v>
      </c>
      <c r="S431" s="264">
        <f>SUM(S432)</f>
        <v>26172</v>
      </c>
      <c r="T431" s="286">
        <f>SUM(T432)</f>
        <v>0</v>
      </c>
      <c r="U431" s="143">
        <f>SUM(U432)</f>
        <v>-26172</v>
      </c>
      <c r="V431" s="306" t="s">
        <v>668</v>
      </c>
      <c r="W431" s="307" t="s">
        <v>668</v>
      </c>
      <c r="X431" s="308" t="s">
        <v>667</v>
      </c>
    </row>
    <row r="432" spans="1:24" s="13" customFormat="1" ht="15.75" customHeight="1">
      <c r="A432" s="72" t="s">
        <v>524</v>
      </c>
      <c r="B432" s="22" t="s">
        <v>9</v>
      </c>
      <c r="C432" s="284"/>
      <c r="D432" s="238">
        <v>183435</v>
      </c>
      <c r="E432" s="239">
        <v>88823</v>
      </c>
      <c r="F432" s="355">
        <f>E432-D432</f>
        <v>-94612</v>
      </c>
      <c r="G432" s="272">
        <v>34220</v>
      </c>
      <c r="H432" s="239"/>
      <c r="I432" s="140">
        <f>H432-G432</f>
        <v>-34220</v>
      </c>
      <c r="J432" s="240"/>
      <c r="K432" s="241"/>
      <c r="L432" s="338"/>
      <c r="M432" s="272">
        <v>34220</v>
      </c>
      <c r="N432" s="239"/>
      <c r="O432" s="140">
        <f>N432-M432</f>
        <v>-34220</v>
      </c>
      <c r="P432" s="240"/>
      <c r="Q432" s="241"/>
      <c r="R432" s="338"/>
      <c r="S432" s="272">
        <v>26172</v>
      </c>
      <c r="T432" s="239"/>
      <c r="U432" s="140">
        <f>T432-S432</f>
        <v>-26172</v>
      </c>
      <c r="V432" s="240"/>
      <c r="W432" s="241"/>
      <c r="X432" s="83"/>
    </row>
    <row r="433" spans="1:24" s="7" customFormat="1" ht="15.75" customHeight="1">
      <c r="A433" s="76"/>
      <c r="B433" s="9"/>
      <c r="C433" s="256"/>
      <c r="D433" s="238"/>
      <c r="E433" s="239"/>
      <c r="F433" s="355"/>
      <c r="G433" s="272"/>
      <c r="H433" s="239"/>
      <c r="I433" s="140"/>
      <c r="J433" s="240"/>
      <c r="K433" s="241"/>
      <c r="L433" s="338"/>
      <c r="M433" s="272"/>
      <c r="N433" s="239"/>
      <c r="O433" s="140"/>
      <c r="P433" s="240"/>
      <c r="Q433" s="241"/>
      <c r="R433" s="338"/>
      <c r="S433" s="272"/>
      <c r="T433" s="239"/>
      <c r="U433" s="140"/>
      <c r="V433" s="240"/>
      <c r="W433" s="241"/>
      <c r="X433" s="83"/>
    </row>
    <row r="434" spans="1:24" s="7" customFormat="1" ht="132" customHeight="1">
      <c r="A434" s="75" t="s">
        <v>525</v>
      </c>
      <c r="B434" s="26" t="s">
        <v>669</v>
      </c>
      <c r="C434" s="305" t="s">
        <v>670</v>
      </c>
      <c r="D434" s="285">
        <f aca="true" t="shared" si="162" ref="D434:I434">SUM(D435)</f>
        <v>700</v>
      </c>
      <c r="E434" s="286">
        <f t="shared" si="162"/>
        <v>0</v>
      </c>
      <c r="F434" s="361">
        <f>E434-D434</f>
        <v>-700</v>
      </c>
      <c r="G434" s="264">
        <f>SUM(G435)</f>
        <v>100</v>
      </c>
      <c r="H434" s="286">
        <f>SUM(H435)</f>
        <v>0</v>
      </c>
      <c r="I434" s="143">
        <f t="shared" si="162"/>
        <v>-100</v>
      </c>
      <c r="J434" s="306" t="s">
        <v>672</v>
      </c>
      <c r="K434" s="307" t="s">
        <v>672</v>
      </c>
      <c r="L434" s="346" t="s">
        <v>671</v>
      </c>
      <c r="M434" s="264">
        <f>SUM(M435)</f>
        <v>100</v>
      </c>
      <c r="N434" s="286">
        <f>SUM(N435)</f>
        <v>0</v>
      </c>
      <c r="O434" s="143">
        <f>SUM(O435)</f>
        <v>-100</v>
      </c>
      <c r="P434" s="306" t="s">
        <v>673</v>
      </c>
      <c r="Q434" s="307" t="s">
        <v>673</v>
      </c>
      <c r="R434" s="346" t="s">
        <v>671</v>
      </c>
      <c r="S434" s="264">
        <f>SUM(S435)</f>
        <v>500</v>
      </c>
      <c r="T434" s="286">
        <f>SUM(T435)</f>
        <v>0</v>
      </c>
      <c r="U434" s="143">
        <f>SUM(U435)</f>
        <v>-500</v>
      </c>
      <c r="V434" s="306" t="s">
        <v>719</v>
      </c>
      <c r="W434" s="307" t="s">
        <v>719</v>
      </c>
      <c r="X434" s="308" t="s">
        <v>671</v>
      </c>
    </row>
    <row r="435" spans="1:24" s="7" customFormat="1" ht="15.75" customHeight="1">
      <c r="A435" s="75" t="s">
        <v>526</v>
      </c>
      <c r="B435" s="9" t="s">
        <v>7</v>
      </c>
      <c r="C435" s="256"/>
      <c r="D435" s="238">
        <v>700</v>
      </c>
      <c r="E435" s="239">
        <v>0</v>
      </c>
      <c r="F435" s="355">
        <f>E435-D435</f>
        <v>-700</v>
      </c>
      <c r="G435" s="272">
        <v>100</v>
      </c>
      <c r="H435" s="239">
        <v>0</v>
      </c>
      <c r="I435" s="155">
        <f>H435-G435</f>
        <v>-100</v>
      </c>
      <c r="J435" s="240"/>
      <c r="K435" s="241"/>
      <c r="L435" s="338"/>
      <c r="M435" s="272">
        <v>100</v>
      </c>
      <c r="N435" s="239">
        <v>0</v>
      </c>
      <c r="O435" s="140">
        <f>N435-M435</f>
        <v>-100</v>
      </c>
      <c r="P435" s="240"/>
      <c r="Q435" s="241"/>
      <c r="R435" s="338"/>
      <c r="S435" s="272">
        <v>500</v>
      </c>
      <c r="T435" s="239"/>
      <c r="U435" s="140">
        <f>T435-S435</f>
        <v>-500</v>
      </c>
      <c r="V435" s="240"/>
      <c r="W435" s="241"/>
      <c r="X435" s="83"/>
    </row>
    <row r="436" spans="1:24" s="7" customFormat="1" ht="15.75" customHeight="1">
      <c r="A436" s="75"/>
      <c r="B436" s="9"/>
      <c r="C436" s="256"/>
      <c r="D436" s="238"/>
      <c r="E436" s="239"/>
      <c r="F436" s="355"/>
      <c r="G436" s="272"/>
      <c r="H436" s="239"/>
      <c r="I436" s="140"/>
      <c r="J436" s="240"/>
      <c r="K436" s="241"/>
      <c r="L436" s="338"/>
      <c r="M436" s="272"/>
      <c r="N436" s="239"/>
      <c r="O436" s="140"/>
      <c r="P436" s="240"/>
      <c r="Q436" s="241"/>
      <c r="R436" s="338"/>
      <c r="S436" s="272"/>
      <c r="T436" s="239"/>
      <c r="U436" s="140"/>
      <c r="V436" s="240"/>
      <c r="W436" s="241"/>
      <c r="X436" s="83"/>
    </row>
    <row r="437" spans="1:24" s="7" customFormat="1" ht="123" customHeight="1">
      <c r="A437" s="75" t="s">
        <v>527</v>
      </c>
      <c r="B437" s="26" t="s">
        <v>674</v>
      </c>
      <c r="C437" s="305" t="s">
        <v>675</v>
      </c>
      <c r="D437" s="285">
        <f>SUM(D438)</f>
        <v>30</v>
      </c>
      <c r="E437" s="286">
        <f>SUM(E438)</f>
        <v>0</v>
      </c>
      <c r="F437" s="361">
        <f>E437-D437</f>
        <v>-30</v>
      </c>
      <c r="G437" s="264">
        <f>SUM(G438)</f>
        <v>10</v>
      </c>
      <c r="H437" s="286">
        <f>SUM(H438)</f>
        <v>0</v>
      </c>
      <c r="I437" s="143">
        <v>0</v>
      </c>
      <c r="J437" s="306" t="s">
        <v>677</v>
      </c>
      <c r="K437" s="307" t="s">
        <v>677</v>
      </c>
      <c r="L437" s="346" t="s">
        <v>676</v>
      </c>
      <c r="M437" s="264">
        <f>SUM(M438)</f>
        <v>10</v>
      </c>
      <c r="N437" s="286">
        <f>SUM(N438)</f>
        <v>0</v>
      </c>
      <c r="O437" s="143">
        <v>0</v>
      </c>
      <c r="P437" s="306" t="s">
        <v>678</v>
      </c>
      <c r="Q437" s="307" t="s">
        <v>678</v>
      </c>
      <c r="R437" s="346" t="s">
        <v>676</v>
      </c>
      <c r="S437" s="264">
        <f>SUM(S438)</f>
        <v>10</v>
      </c>
      <c r="T437" s="286">
        <f>SUM(T438)</f>
        <v>0</v>
      </c>
      <c r="U437" s="143">
        <v>0</v>
      </c>
      <c r="V437" s="306" t="s">
        <v>720</v>
      </c>
      <c r="W437" s="307" t="s">
        <v>720</v>
      </c>
      <c r="X437" s="308" t="s">
        <v>676</v>
      </c>
    </row>
    <row r="438" spans="1:24" s="7" customFormat="1" ht="15.75" customHeight="1">
      <c r="A438" s="75" t="s">
        <v>528</v>
      </c>
      <c r="B438" s="9" t="s">
        <v>7</v>
      </c>
      <c r="C438" s="256"/>
      <c r="D438" s="238">
        <v>30</v>
      </c>
      <c r="E438" s="239">
        <v>0</v>
      </c>
      <c r="F438" s="355">
        <f>E438-D438</f>
        <v>-30</v>
      </c>
      <c r="G438" s="272">
        <v>10</v>
      </c>
      <c r="H438" s="239">
        <v>0</v>
      </c>
      <c r="I438" s="155">
        <f>H438-G438</f>
        <v>-10</v>
      </c>
      <c r="J438" s="240"/>
      <c r="K438" s="241"/>
      <c r="L438" s="338"/>
      <c r="M438" s="272">
        <v>10</v>
      </c>
      <c r="N438" s="239">
        <v>0</v>
      </c>
      <c r="O438" s="140">
        <f>N438-M438</f>
        <v>-10</v>
      </c>
      <c r="P438" s="240"/>
      <c r="Q438" s="241"/>
      <c r="R438" s="338"/>
      <c r="S438" s="272">
        <v>10</v>
      </c>
      <c r="T438" s="239"/>
      <c r="U438" s="140">
        <f>T438-S438</f>
        <v>-10</v>
      </c>
      <c r="V438" s="240"/>
      <c r="W438" s="241"/>
      <c r="X438" s="83"/>
    </row>
    <row r="439" spans="1:24" s="7" customFormat="1" ht="15.75" customHeight="1">
      <c r="A439" s="75"/>
      <c r="B439" s="9"/>
      <c r="C439" s="256"/>
      <c r="D439" s="238"/>
      <c r="E439" s="239"/>
      <c r="F439" s="355"/>
      <c r="G439" s="272"/>
      <c r="H439" s="239"/>
      <c r="I439" s="140"/>
      <c r="J439" s="240"/>
      <c r="K439" s="241"/>
      <c r="L439" s="338"/>
      <c r="M439" s="272"/>
      <c r="N439" s="239"/>
      <c r="O439" s="140"/>
      <c r="P439" s="240"/>
      <c r="Q439" s="241"/>
      <c r="R439" s="338"/>
      <c r="S439" s="272"/>
      <c r="T439" s="239"/>
      <c r="U439" s="140"/>
      <c r="V439" s="240"/>
      <c r="W439" s="241"/>
      <c r="X439" s="83"/>
    </row>
    <row r="440" spans="1:24" s="7" customFormat="1" ht="67.5" customHeight="1">
      <c r="A440" s="75" t="s">
        <v>530</v>
      </c>
      <c r="B440" s="26" t="s">
        <v>679</v>
      </c>
      <c r="C440" s="305" t="s">
        <v>680</v>
      </c>
      <c r="D440" s="285">
        <f>SUM(D441)</f>
        <v>0</v>
      </c>
      <c r="E440" s="286">
        <f>SUM(E441)</f>
        <v>0</v>
      </c>
      <c r="F440" s="361">
        <f>E440-D440</f>
        <v>0</v>
      </c>
      <c r="G440" s="264">
        <f>SUM(G441)</f>
        <v>0</v>
      </c>
      <c r="H440" s="286">
        <f>SUM(H441)</f>
        <v>0</v>
      </c>
      <c r="I440" s="143">
        <v>0</v>
      </c>
      <c r="J440" s="306" t="s">
        <v>681</v>
      </c>
      <c r="K440" s="307" t="s">
        <v>681</v>
      </c>
      <c r="L440" s="346" t="s">
        <v>682</v>
      </c>
      <c r="M440" s="264">
        <f>SUM(M441)</f>
        <v>0</v>
      </c>
      <c r="N440" s="286">
        <f>SUM(N441)</f>
        <v>0</v>
      </c>
      <c r="O440" s="143">
        <v>0</v>
      </c>
      <c r="P440" s="306" t="s">
        <v>681</v>
      </c>
      <c r="Q440" s="307" t="s">
        <v>681</v>
      </c>
      <c r="R440" s="346" t="s">
        <v>682</v>
      </c>
      <c r="S440" s="264">
        <f>SUM(S441)</f>
        <v>0</v>
      </c>
      <c r="T440" s="286">
        <f>SUM(T441)</f>
        <v>0</v>
      </c>
      <c r="U440" s="143">
        <v>0</v>
      </c>
      <c r="V440" s="306" t="s">
        <v>681</v>
      </c>
      <c r="W440" s="307" t="s">
        <v>681</v>
      </c>
      <c r="X440" s="308" t="s">
        <v>682</v>
      </c>
    </row>
    <row r="441" spans="1:24" s="7" customFormat="1" ht="15.75" customHeight="1">
      <c r="A441" s="75" t="s">
        <v>531</v>
      </c>
      <c r="B441" s="9" t="s">
        <v>7</v>
      </c>
      <c r="C441" s="256"/>
      <c r="D441" s="238">
        <v>0</v>
      </c>
      <c r="E441" s="239">
        <v>0</v>
      </c>
      <c r="F441" s="355">
        <f>E441-D441</f>
        <v>0</v>
      </c>
      <c r="G441" s="272"/>
      <c r="H441" s="239"/>
      <c r="I441" s="155">
        <f>H441-G441</f>
        <v>0</v>
      </c>
      <c r="J441" s="240"/>
      <c r="K441" s="241"/>
      <c r="L441" s="338"/>
      <c r="M441" s="272"/>
      <c r="N441" s="239"/>
      <c r="O441" s="140">
        <f>N441-M441</f>
        <v>0</v>
      </c>
      <c r="P441" s="240"/>
      <c r="Q441" s="241"/>
      <c r="R441" s="338"/>
      <c r="S441" s="272"/>
      <c r="T441" s="239"/>
      <c r="U441" s="140">
        <f>T441-S441</f>
        <v>0</v>
      </c>
      <c r="V441" s="240"/>
      <c r="W441" s="241"/>
      <c r="X441" s="83"/>
    </row>
    <row r="442" spans="1:24" s="7" customFormat="1" ht="15.75" customHeight="1">
      <c r="A442" s="75"/>
      <c r="B442" s="9"/>
      <c r="C442" s="256"/>
      <c r="D442" s="238"/>
      <c r="E442" s="239"/>
      <c r="F442" s="355"/>
      <c r="G442" s="272"/>
      <c r="H442" s="239"/>
      <c r="I442" s="140"/>
      <c r="J442" s="240"/>
      <c r="K442" s="241"/>
      <c r="L442" s="338"/>
      <c r="M442" s="272"/>
      <c r="N442" s="239"/>
      <c r="O442" s="140"/>
      <c r="P442" s="240"/>
      <c r="Q442" s="241"/>
      <c r="R442" s="338"/>
      <c r="S442" s="272"/>
      <c r="T442" s="239"/>
      <c r="U442" s="140"/>
      <c r="V442" s="240"/>
      <c r="W442" s="241"/>
      <c r="X442" s="83"/>
    </row>
    <row r="443" spans="1:24" s="7" customFormat="1" ht="63.75" customHeight="1">
      <c r="A443" s="75" t="s">
        <v>723</v>
      </c>
      <c r="B443" s="26" t="s">
        <v>683</v>
      </c>
      <c r="C443" s="305" t="s">
        <v>684</v>
      </c>
      <c r="D443" s="285">
        <f>SUM(D444)</f>
        <v>30</v>
      </c>
      <c r="E443" s="286">
        <f>SUM(E444)</f>
        <v>0</v>
      </c>
      <c r="F443" s="361">
        <f>E443-D443</f>
        <v>-30</v>
      </c>
      <c r="G443" s="264">
        <f>SUM(G444)</f>
        <v>30</v>
      </c>
      <c r="H443" s="286">
        <f>SUM(H444)</f>
        <v>0</v>
      </c>
      <c r="I443" s="143">
        <v>0</v>
      </c>
      <c r="J443" s="306" t="s">
        <v>686</v>
      </c>
      <c r="K443" s="307" t="s">
        <v>686</v>
      </c>
      <c r="L443" s="344" t="s">
        <v>685</v>
      </c>
      <c r="M443" s="264">
        <f>SUM(M444)</f>
        <v>0</v>
      </c>
      <c r="N443" s="286">
        <f>SUM(N444)</f>
        <v>0</v>
      </c>
      <c r="O443" s="143">
        <v>0</v>
      </c>
      <c r="P443" s="306" t="s">
        <v>686</v>
      </c>
      <c r="Q443" s="307" t="s">
        <v>686</v>
      </c>
      <c r="R443" s="344" t="s">
        <v>685</v>
      </c>
      <c r="S443" s="264">
        <f>SUM(S444)</f>
        <v>0</v>
      </c>
      <c r="T443" s="286">
        <f>SUM(T444)</f>
        <v>0</v>
      </c>
      <c r="U443" s="143">
        <v>0</v>
      </c>
      <c r="V443" s="306" t="s">
        <v>686</v>
      </c>
      <c r="W443" s="307" t="s">
        <v>686</v>
      </c>
      <c r="X443" s="321" t="s">
        <v>685</v>
      </c>
    </row>
    <row r="444" spans="1:24" s="7" customFormat="1" ht="15.75" customHeight="1">
      <c r="A444" s="75" t="s">
        <v>724</v>
      </c>
      <c r="B444" s="9" t="s">
        <v>7</v>
      </c>
      <c r="C444" s="256"/>
      <c r="D444" s="238">
        <v>30</v>
      </c>
      <c r="E444" s="239">
        <v>0</v>
      </c>
      <c r="F444" s="355">
        <f>E444-D444</f>
        <v>-30</v>
      </c>
      <c r="G444" s="272">
        <v>30</v>
      </c>
      <c r="H444" s="239">
        <v>0</v>
      </c>
      <c r="I444" s="155">
        <f>H444-G444</f>
        <v>-30</v>
      </c>
      <c r="J444" s="240"/>
      <c r="K444" s="241"/>
      <c r="L444" s="341"/>
      <c r="M444" s="272"/>
      <c r="N444" s="239"/>
      <c r="O444" s="155">
        <f>N444-M444</f>
        <v>0</v>
      </c>
      <c r="P444" s="240"/>
      <c r="Q444" s="241"/>
      <c r="R444" s="370"/>
      <c r="S444" s="363"/>
      <c r="T444" s="239"/>
      <c r="U444" s="155">
        <f>T444-S444</f>
        <v>0</v>
      </c>
      <c r="V444" s="240"/>
      <c r="W444" s="241"/>
      <c r="X444" s="87"/>
    </row>
  </sheetData>
  <sheetProtection/>
  <mergeCells count="71">
    <mergeCell ref="I1:L1"/>
    <mergeCell ref="D3:L3"/>
    <mergeCell ref="D4:L4"/>
    <mergeCell ref="D5:L5"/>
    <mergeCell ref="A7:A9"/>
    <mergeCell ref="B7:B9"/>
    <mergeCell ref="C7:C9"/>
    <mergeCell ref="D7:F8"/>
    <mergeCell ref="G7:L7"/>
    <mergeCell ref="M7:R7"/>
    <mergeCell ref="S7:X7"/>
    <mergeCell ref="G8:I8"/>
    <mergeCell ref="J8:L8"/>
    <mergeCell ref="M8:O8"/>
    <mergeCell ref="P8:R8"/>
    <mergeCell ref="S8:U8"/>
    <mergeCell ref="V8:X8"/>
    <mergeCell ref="D29:L29"/>
    <mergeCell ref="M29:X29"/>
    <mergeCell ref="D35:L35"/>
    <mergeCell ref="M35:X35"/>
    <mergeCell ref="D41:L41"/>
    <mergeCell ref="M41:X41"/>
    <mergeCell ref="D59:L59"/>
    <mergeCell ref="M59:X59"/>
    <mergeCell ref="D66:L66"/>
    <mergeCell ref="M66:X66"/>
    <mergeCell ref="D140:L140"/>
    <mergeCell ref="M140:X140"/>
    <mergeCell ref="D146:L146"/>
    <mergeCell ref="M146:X146"/>
    <mergeCell ref="D152:L152"/>
    <mergeCell ref="M152:X152"/>
    <mergeCell ref="D163:L163"/>
    <mergeCell ref="M163:X163"/>
    <mergeCell ref="D178:L178"/>
    <mergeCell ref="M178:X178"/>
    <mergeCell ref="D293:L293"/>
    <mergeCell ref="M293:X293"/>
    <mergeCell ref="D298:L298"/>
    <mergeCell ref="M298:X298"/>
    <mergeCell ref="D303:L303"/>
    <mergeCell ref="M303:X303"/>
    <mergeCell ref="D312:L312"/>
    <mergeCell ref="M312:X312"/>
    <mergeCell ref="D325:L325"/>
    <mergeCell ref="M325:X325"/>
    <mergeCell ref="D331:L331"/>
    <mergeCell ref="M331:X331"/>
    <mergeCell ref="D334:L334"/>
    <mergeCell ref="M334:X334"/>
    <mergeCell ref="D337:L337"/>
    <mergeCell ref="M337:X337"/>
    <mergeCell ref="D358:L358"/>
    <mergeCell ref="M358:X358"/>
    <mergeCell ref="D364:L364"/>
    <mergeCell ref="M364:X364"/>
    <mergeCell ref="D370:L370"/>
    <mergeCell ref="M370:X370"/>
    <mergeCell ref="D374:L374"/>
    <mergeCell ref="M374:X374"/>
    <mergeCell ref="D382:L382"/>
    <mergeCell ref="M382:X382"/>
    <mergeCell ref="D413:L413"/>
    <mergeCell ref="M413:X413"/>
    <mergeCell ref="D419:L419"/>
    <mergeCell ref="M419:X419"/>
    <mergeCell ref="D422:L422"/>
    <mergeCell ref="M422:X422"/>
    <mergeCell ref="D425:L425"/>
    <mergeCell ref="M425:W425"/>
  </mergeCells>
  <printOptions/>
  <pageMargins left="0.31496062992125984" right="0" top="0" bottom="0" header="0" footer="0"/>
  <pageSetup horizontalDpi="600" verticalDpi="600" orientation="landscape" paperSize="9" scale="6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Шатунова</cp:lastModifiedBy>
  <cp:lastPrinted>2017-11-02T06:10:51Z</cp:lastPrinted>
  <dcterms:created xsi:type="dcterms:W3CDTF">2013-10-08T11:20:39Z</dcterms:created>
  <dcterms:modified xsi:type="dcterms:W3CDTF">2017-11-03T04:53:43Z</dcterms:modified>
  <cp:category/>
  <cp:version/>
  <cp:contentType/>
  <cp:contentStatus/>
</cp:coreProperties>
</file>