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987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мероприятий'!$12:$14</definedName>
    <definedName name="_xlnm.Print_Area" localSheetId="0">'Приложение № 2 План мероприятий'!$A$1:$K$407</definedName>
  </definedNames>
  <calcPr fullCalcOnLoad="1"/>
</workbook>
</file>

<file path=xl/sharedStrings.xml><?xml version="1.0" encoding="utf-8"?>
<sst xmlns="http://schemas.openxmlformats.org/spreadsheetml/2006/main" count="612" uniqueCount="408">
  <si>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</si>
  <si>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</si>
  <si>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</si>
  <si>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</si>
  <si>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</si>
  <si>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</si>
  <si>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</si>
  <si>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</si>
  <si>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</si>
  <si>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</si>
  <si>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</si>
  <si>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</si>
  <si>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</si>
  <si>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</si>
  <si>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</si>
  <si>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</si>
  <si>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</si>
  <si>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</si>
  <si>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</si>
  <si>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</si>
  <si>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</si>
  <si>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</si>
  <si>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</si>
  <si>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</si>
  <si>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</si>
  <si>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</si>
  <si>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2.5, целевой показатель 14 (строка 27)</t>
  </si>
  <si>
    <t>МБОУ СОШ №  14</t>
  </si>
  <si>
    <t>Окон МБОУ НОШ № 6</t>
  </si>
  <si>
    <t>Полов и санузлов МБОУ СОШ № 14</t>
  </si>
  <si>
    <t>Дверных блоков МБОУ СОШ № 14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</si>
  <si>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</si>
  <si>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</si>
  <si>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</si>
  <si>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</si>
  <si>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</si>
  <si>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</si>
  <si>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</si>
  <si>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</si>
  <si>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Капитальные вложения всего,                                                                                     в том числе:</t>
  </si>
  <si>
    <t>МАДОУ № 4</t>
  </si>
  <si>
    <t>МБДОУ № 36</t>
  </si>
  <si>
    <t>Электропроводки пищеблока МБДОУ № 1</t>
  </si>
  <si>
    <t>МАОУ СОШ № 8</t>
  </si>
  <si>
    <t>МАОУ СОШ №  11</t>
  </si>
  <si>
    <t>МАОУ СОШ №  13</t>
  </si>
  <si>
    <t>Окон МАОУ СОШ № 8</t>
  </si>
  <si>
    <t>Окон и санузлов МАОУ СОШ № 13</t>
  </si>
  <si>
    <t>Окон и бассейна МАОУ СОШ № 11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</si>
  <si>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</si>
  <si>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</si>
  <si>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</si>
  <si>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</si>
  <si>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</si>
  <si>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</si>
  <si>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</si>
  <si>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</si>
  <si>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</si>
  <si>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</si>
  <si>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</si>
  <si>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</si>
  <si>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</si>
  <si>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</si>
  <si>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</si>
  <si>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</si>
  <si>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</si>
  <si>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</si>
  <si>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</si>
  <si>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</si>
  <si>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</si>
  <si>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</si>
  <si>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</si>
  <si>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</si>
  <si>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</si>
  <si>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</si>
  <si>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</si>
  <si>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</si>
  <si>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</si>
  <si>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к Постановлению Администрации</t>
  </si>
  <si>
    <t>Североуральского городского округа</t>
  </si>
  <si>
    <t>Задача 2.3, целевой показатель 12 (строка 23);                                                                                           Задача 2.5, целевой показатель 13 (строка 25)</t>
  </si>
  <si>
    <t>Задача 2.1, целевой показатель 7 (строка 16),                                                                                                     задача 2.2, целевые показатели 8-11 (строки  18-21),                     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</si>
  <si>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задача 2.3, целевой показатель 12 (строка 23)</t>
  </si>
  <si>
    <t xml:space="preserve">от                              №    </t>
  </si>
  <si>
    <t>"Развитие образования в Североуральском городском округе" на 2014 - 2020 годы</t>
  </si>
  <si>
    <t xml:space="preserve"> к муниципальной программе Североуральского городского округа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</si>
  <si>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</si>
  <si>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</si>
  <si>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</si>
  <si>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</si>
  <si>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</si>
  <si>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</si>
  <si>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</si>
  <si>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Задача 3.2, целевой показатель 19 (строка 38),                                                                                              задача 3.3, целевые показатели 20-23 (строки 40-43)</t>
  </si>
  <si>
    <t>Задача 1.1, целевой показатель1 (строка 4),                                                                  задача 3, целевой показатель 5 (строка 10),                                                            задача 4, целевой показатель 6 (строка 12)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</si>
  <si>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</si>
  <si>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</si>
  <si>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</si>
  <si>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</si>
  <si>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</si>
  <si>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3</t>
  </si>
  <si>
    <t>МБДОУ № 18</t>
  </si>
  <si>
    <t>МБДОУ № 21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</si>
  <si>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</si>
  <si>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</si>
  <si>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</si>
  <si>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</si>
  <si>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</si>
  <si>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</si>
  <si>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</si>
  <si>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Задача 6.1, целевой показатель 31 (строка 62)</t>
  </si>
  <si>
    <t>Задача 6.1, показатель 31 (строка 62)</t>
  </si>
  <si>
    <t>РАЗВИТИЕ ОБРАЗОВАНИЯ В СЕВЕРОУРАЛЬСКОМ ГОРОДСКОМ ОКРУГЕ на 2014 - 2020 ГОДЫ</t>
  </si>
  <si>
    <t>Прочие нужды всего, в том числе:</t>
  </si>
  <si>
    <t>Задачи 6.3-6.4, целевые показатели 31-34 (строки 62-67)</t>
  </si>
  <si>
    <t>Задача 6.4, целевые показатели 33-36 (строки 66-70)</t>
  </si>
  <si>
    <t>Задачи 6.1-6.3, целевые показатели 31-34 (строки 62-67)</t>
  </si>
  <si>
    <t>Задача 1.1, целевой показатель1 (строка 4), задача 3, целевой показатель 5 (строка 10), задача 4,                                                                           целевой показатель 6 (строка 12)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</si>
  <si>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</si>
  <si>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</si>
  <si>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</si>
  <si>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</si>
  <si>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</si>
  <si>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</si>
  <si>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</si>
  <si>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</si>
  <si>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</si>
  <si>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</si>
  <si>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</si>
  <si>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</si>
  <si>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</si>
  <si>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</si>
  <si>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Окон МАОУ СОШ № 9</t>
  </si>
  <si>
    <t>Системы отопления  МБОУ СОШ № 2</t>
  </si>
  <si>
    <t>Дверных блоков МБОУ СОШ № 15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</si>
  <si>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</si>
  <si>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</si>
  <si>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</si>
  <si>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</si>
  <si>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</si>
  <si>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</si>
  <si>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</si>
  <si>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Кровли МБДОУ № 21</t>
  </si>
  <si>
    <t>Кровли здания МБОУ СОШ № 14 по ул.Больничный пер., 5</t>
  </si>
  <si>
    <t>Здание МБОУ СОШ № 14 по ул.Больничный пер., 5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</si>
  <si>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</si>
  <si>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</si>
  <si>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</si>
  <si>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</si>
  <si>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</si>
  <si>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</si>
  <si>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</si>
  <si>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</si>
  <si>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</si>
  <si>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</si>
  <si>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</si>
  <si>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</si>
  <si>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</si>
  <si>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</si>
  <si>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</si>
  <si>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</si>
  <si>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86</t>
  </si>
  <si>
    <t>87</t>
  </si>
  <si>
    <t>88</t>
  </si>
  <si>
    <t>89</t>
  </si>
  <si>
    <t>90</t>
  </si>
  <si>
    <t>91</t>
  </si>
  <si>
    <t>92</t>
  </si>
  <si>
    <t>93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</si>
  <si>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</si>
  <si>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</si>
  <si>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</si>
  <si>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</si>
  <si>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</si>
  <si>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</si>
  <si>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</si>
  <si>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</si>
  <si>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</si>
  <si>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</si>
  <si>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</si>
  <si>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</si>
  <si>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</si>
  <si>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</si>
  <si>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</si>
  <si>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</si>
  <si>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</si>
  <si>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</si>
  <si>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</si>
  <si>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</si>
  <si>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</si>
  <si>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</si>
  <si>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</si>
  <si>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</si>
  <si>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</si>
  <si>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</si>
  <si>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</si>
  <si>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</si>
  <si>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</si>
  <si>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</si>
  <si>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</si>
  <si>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</si>
  <si>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</si>
  <si>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</si>
  <si>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</si>
  <si>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</si>
  <si>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</si>
  <si>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</si>
  <si>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</si>
  <si>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</si>
  <si>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</si>
  <si>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</si>
  <si>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</si>
  <si>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</si>
  <si>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</si>
  <si>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</si>
  <si>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</si>
  <si>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</si>
  <si>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</si>
  <si>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</si>
  <si>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</si>
  <si>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</si>
  <si>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</si>
  <si>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</si>
  <si>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</si>
  <si>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</si>
  <si>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</si>
  <si>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</si>
  <si>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</si>
  <si>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</si>
  <si>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</si>
  <si>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</si>
  <si>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</si>
  <si>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</si>
  <si>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</si>
  <si>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</si>
  <si>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</si>
  <si>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</si>
  <si>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</si>
  <si>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</si>
  <si>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</si>
  <si>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</si>
  <si>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</si>
  <si>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</si>
  <si>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</si>
  <si>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</si>
  <si>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</si>
  <si>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</si>
  <si>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</si>
  <si>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</si>
  <si>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</si>
  <si>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</si>
  <si>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</si>
  <si>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</si>
  <si>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</si>
  <si>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</si>
  <si>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</si>
  <si>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</si>
  <si>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</si>
  <si>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</si>
  <si>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</si>
  <si>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</si>
  <si>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</si>
  <si>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</si>
  <si>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</si>
  <si>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</si>
  <si>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</si>
  <si>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</si>
  <si>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</si>
  <si>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</si>
  <si>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</si>
  <si>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</si>
  <si>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</si>
  <si>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</si>
  <si>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</si>
  <si>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</si>
  <si>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</si>
  <si>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</si>
  <si>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</si>
  <si>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</si>
  <si>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</si>
  <si>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</si>
  <si>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</si>
  <si>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</si>
  <si>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</si>
  <si>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</si>
  <si>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</si>
  <si>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</si>
  <si>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</si>
  <si>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</si>
  <si>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</si>
  <si>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</si>
  <si>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</si>
  <si>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</si>
  <si>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</si>
  <si>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</si>
  <si>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</si>
  <si>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</si>
  <si>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</si>
  <si>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</si>
  <si>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</si>
  <si>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</si>
  <si>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</si>
  <si>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</si>
  <si>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</si>
  <si>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</si>
  <si>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</si>
  <si>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</si>
  <si>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</si>
  <si>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</si>
  <si>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</si>
  <si>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</si>
  <si>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</si>
  <si>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</si>
  <si>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</si>
  <si>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</si>
  <si>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</si>
  <si>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</si>
  <si>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</si>
  <si>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</si>
  <si>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</si>
  <si>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</si>
  <si>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</si>
  <si>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</si>
  <si>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</si>
  <si>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</si>
  <si>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</si>
  <si>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</si>
  <si>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</si>
  <si>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</si>
  <si>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</si>
  <si>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</si>
  <si>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</si>
  <si>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</si>
  <si>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</si>
  <si>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</si>
  <si>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</si>
  <si>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</si>
  <si>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</si>
  <si>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</si>
  <si>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</si>
  <si>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</si>
  <si>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</si>
  <si>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</si>
  <si>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</si>
  <si>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</si>
  <si>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</si>
  <si>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</si>
  <si>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</si>
  <si>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237</t>
  </si>
  <si>
    <t>Задача 5.1, целевые показатели 29,30 (строки 56,58)</t>
  </si>
  <si>
    <t>238</t>
  </si>
  <si>
    <t>239</t>
  </si>
  <si>
    <t>240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</si>
  <si>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</si>
  <si>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</si>
  <si>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</si>
  <si>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</si>
  <si>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</si>
  <si>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</si>
  <si>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>235</t>
  </si>
  <si>
    <t>Задача 5.1, целевой показатель 29 (строка 56)</t>
  </si>
  <si>
    <t>236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</si>
  <si>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</si>
  <si>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</si>
  <si>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ремонт (замена) электрооборудования всего, в том числе: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</si>
  <si>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</si>
  <si>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</si>
  <si>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</si>
  <si>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</si>
  <si>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</si>
  <si>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</si>
  <si>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</si>
  <si>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</si>
  <si>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</si>
  <si>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</si>
  <si>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</si>
  <si>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</si>
  <si>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</si>
  <si>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</si>
  <si>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</si>
  <si>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</si>
  <si>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</si>
  <si>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</si>
  <si>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</si>
  <si>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</si>
  <si>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</si>
  <si>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</si>
  <si>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</si>
  <si>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</si>
  <si>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</si>
  <si>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</si>
  <si>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</si>
  <si>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</si>
  <si>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</si>
  <si>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</si>
  <si>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</si>
  <si>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</si>
  <si>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</si>
  <si>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Задача 8, целевой показатель 13</t>
  </si>
  <si>
    <t>113</t>
  </si>
  <si>
    <t>115</t>
  </si>
  <si>
    <t>116</t>
  </si>
  <si>
    <t>117</t>
  </si>
  <si>
    <t>118</t>
  </si>
  <si>
    <t>219</t>
  </si>
  <si>
    <t>Приложение № 2 к муниципальной программе Североуральского городского округа</t>
  </si>
  <si>
    <t>Приложение № 2 к муниципальной программе Североуральского городского округа "Развитие образования в Североуральском городском округе на 2014-2020 годы"</t>
  </si>
  <si>
    <t>ПЛАН МЕРОПРИЯТИЙ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</si>
</sst>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2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1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6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0" fillId="0" borderId="13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169" fontId="2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169" fontId="2" fillId="22" borderId="11" xfId="0" applyNumberFormat="1" applyFont="1" applyFill="1" applyBorder="1" applyAlignment="1">
      <alignment horizontal="righ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0" fillId="2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69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69" fontId="22" fillId="0" borderId="11" xfId="0" applyNumberFormat="1" applyFont="1" applyBorder="1" applyAlignment="1">
      <alignment horizontal="right" vertical="center" wrapText="1"/>
    </xf>
    <xf numFmtId="169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69" fontId="23" fillId="0" borderId="11" xfId="0" applyNumberFormat="1" applyFont="1" applyBorder="1" applyAlignment="1">
      <alignment horizontal="right" vertical="center" wrapText="1"/>
    </xf>
    <xf numFmtId="169" fontId="23" fillId="25" borderId="11" xfId="0" applyNumberFormat="1" applyFont="1" applyFill="1" applyBorder="1" applyAlignment="1">
      <alignment horizontal="right" vertical="center" wrapText="1"/>
    </xf>
    <xf numFmtId="169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69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169" fontId="0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24" fillId="0" borderId="11" xfId="0" applyNumberFormat="1" applyFont="1" applyBorder="1" applyAlignment="1">
      <alignment horizontal="left" vertical="center" wrapText="1"/>
    </xf>
    <xf numFmtId="169" fontId="16" fillId="0" borderId="11" xfId="0" applyNumberFormat="1" applyFont="1" applyBorder="1" applyAlignment="1">
      <alignment horizontal="left" vertical="center" wrapText="1"/>
    </xf>
    <xf numFmtId="169" fontId="14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169" fontId="4" fillId="0" borderId="0" xfId="0" applyNumberFormat="1" applyFont="1" applyAlignment="1">
      <alignment/>
    </xf>
    <xf numFmtId="0" fontId="1" fillId="0" borderId="10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2" fillId="22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8" fillId="22" borderId="15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8" fillId="6" borderId="15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9" fontId="2" fillId="0" borderId="11" xfId="0" applyNumberFormat="1" applyFont="1" applyBorder="1" applyAlignment="1">
      <alignment horizontal="center" vertical="center" wrapText="1"/>
    </xf>
    <xf numFmtId="169" fontId="26" fillId="0" borderId="11" xfId="0" applyNumberFormat="1" applyFont="1" applyBorder="1" applyAlignment="1">
      <alignment horizontal="center" vertical="center" wrapText="1"/>
    </xf>
    <xf numFmtId="169" fontId="25" fillId="0" borderId="13" xfId="0" applyNumberFormat="1" applyFont="1" applyFill="1" applyBorder="1" applyAlignment="1">
      <alignment horizontal="right" vertical="center" wrapText="1"/>
    </xf>
    <xf numFmtId="169" fontId="25" fillId="0" borderId="13" xfId="0" applyNumberFormat="1" applyFont="1" applyBorder="1" applyAlignment="1">
      <alignment horizontal="right" vertical="center" wrapText="1"/>
    </xf>
    <xf numFmtId="169" fontId="8" fillId="0" borderId="11" xfId="0" applyNumberFormat="1" applyFont="1" applyBorder="1" applyAlignment="1">
      <alignment horizontal="center" vertical="center" wrapText="1"/>
    </xf>
    <xf numFmtId="169" fontId="8" fillId="0" borderId="13" xfId="0" applyNumberFormat="1" applyFont="1" applyBorder="1" applyAlignment="1">
      <alignment horizontal="right" vertical="center" wrapText="1"/>
    </xf>
    <xf numFmtId="169" fontId="25" fillId="0" borderId="11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2" fillId="22" borderId="11" xfId="0" applyNumberFormat="1" applyFont="1" applyFill="1" applyBorder="1" applyAlignment="1">
      <alignment horizontal="right" vertical="center" wrapText="1"/>
    </xf>
    <xf numFmtId="172" fontId="18" fillId="0" borderId="0" xfId="0" applyNumberFormat="1" applyFont="1" applyAlignment="1">
      <alignment wrapText="1"/>
    </xf>
    <xf numFmtId="170" fontId="2" fillId="0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69" fontId="14" fillId="0" borderId="0" xfId="0" applyNumberFormat="1" applyFont="1" applyAlignment="1">
      <alignment wrapText="1"/>
    </xf>
    <xf numFmtId="170" fontId="2" fillId="0" borderId="13" xfId="0" applyNumberFormat="1" applyFont="1" applyFill="1" applyBorder="1" applyAlignment="1">
      <alignment horizontal="right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top" wrapText="1"/>
    </xf>
    <xf numFmtId="169" fontId="0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69" fontId="0" fillId="6" borderId="11" xfId="0" applyNumberFormat="1" applyFont="1" applyFill="1" applyBorder="1" applyAlignment="1">
      <alignment horizontal="right" vertical="center" wrapText="1"/>
    </xf>
    <xf numFmtId="169" fontId="0" fillId="6" borderId="11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169" fontId="0" fillId="2" borderId="11" xfId="0" applyNumberFormat="1" applyFont="1" applyFill="1" applyBorder="1" applyAlignment="1">
      <alignment horizontal="righ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46" fillId="0" borderId="0" xfId="0" applyNumberFormat="1" applyFont="1" applyFill="1" applyAlignment="1">
      <alignment shrinkToFit="1"/>
    </xf>
    <xf numFmtId="0" fontId="24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0"/>
  <sheetViews>
    <sheetView tabSelected="1" view="pageBreakPreview" zoomScaleSheetLayoutView="100" zoomScalePageLayoutView="0" workbookViewId="0" topLeftCell="A7">
      <pane xSplit="2" ySplit="8" topLeftCell="C15" activePane="bottomRight" state="frozen"/>
      <selection pane="topLeft" activeCell="A7" sqref="A7"/>
      <selection pane="topRight" activeCell="C7" sqref="C7"/>
      <selection pane="bottomLeft" activeCell="A15" sqref="A15"/>
      <selection pane="bottomRight" activeCell="C12" sqref="C12:J12"/>
    </sheetView>
  </sheetViews>
  <sheetFormatPr defaultColWidth="9.00390625" defaultRowHeight="12.75"/>
  <cols>
    <col min="1" max="1" width="7.00390625" style="102" customWidth="1"/>
    <col min="2" max="2" width="63.00390625" style="125" customWidth="1"/>
    <col min="3" max="3" width="11.875" style="3" customWidth="1"/>
    <col min="4" max="10" width="11.125" style="0" customWidth="1"/>
    <col min="11" max="11" width="47.125" style="70" customWidth="1"/>
    <col min="12" max="12" width="8.625" style="0" customWidth="1"/>
  </cols>
  <sheetData>
    <row r="1" spans="1:11" s="1" customFormat="1" ht="15.75">
      <c r="A1" s="102"/>
      <c r="B1" s="2"/>
      <c r="C1" s="127"/>
      <c r="G1" s="83"/>
      <c r="H1" s="156"/>
      <c r="I1" s="156"/>
      <c r="J1" s="156"/>
      <c r="K1" s="157" t="s">
        <v>78</v>
      </c>
    </row>
    <row r="2" spans="1:11" s="1" customFormat="1" ht="15.75">
      <c r="A2" s="102"/>
      <c r="B2" s="82"/>
      <c r="C2" s="128"/>
      <c r="E2" s="83"/>
      <c r="F2" s="83"/>
      <c r="G2" s="83"/>
      <c r="H2" s="156"/>
      <c r="I2" s="156"/>
      <c r="J2" s="156"/>
      <c r="K2" s="157" t="s">
        <v>79</v>
      </c>
    </row>
    <row r="3" spans="1:11" s="1" customFormat="1" ht="15.75">
      <c r="A3" s="102"/>
      <c r="B3" s="82"/>
      <c r="C3" s="128"/>
      <c r="E3" s="69"/>
      <c r="F3" s="69"/>
      <c r="G3" s="69"/>
      <c r="H3" s="158"/>
      <c r="I3" s="158"/>
      <c r="J3" s="158"/>
      <c r="K3" s="157" t="s">
        <v>83</v>
      </c>
    </row>
    <row r="4" spans="1:11" s="1" customFormat="1" ht="15.75">
      <c r="A4" s="102"/>
      <c r="B4" s="82"/>
      <c r="C4" s="128"/>
      <c r="D4" s="93"/>
      <c r="E4" s="69"/>
      <c r="F4" s="69"/>
      <c r="G4" s="69"/>
      <c r="H4" s="158"/>
      <c r="I4" s="158"/>
      <c r="J4" s="158"/>
      <c r="K4" s="157" t="s">
        <v>86</v>
      </c>
    </row>
    <row r="5" spans="1:11" s="1" customFormat="1" ht="15.75">
      <c r="A5" s="102"/>
      <c r="B5" s="82"/>
      <c r="C5" s="128"/>
      <c r="E5" s="69"/>
      <c r="F5" s="69"/>
      <c r="G5" s="69"/>
      <c r="H5" s="158"/>
      <c r="I5" s="182" t="s">
        <v>85</v>
      </c>
      <c r="J5" s="182"/>
      <c r="K5" s="182"/>
    </row>
    <row r="6" spans="1:11" s="1" customFormat="1" ht="15.75">
      <c r="A6" s="102"/>
      <c r="B6" s="82"/>
      <c r="C6" s="128"/>
      <c r="D6" s="93"/>
      <c r="E6" s="69"/>
      <c r="F6" s="69"/>
      <c r="G6" s="69"/>
      <c r="H6" s="182" t="s">
        <v>84</v>
      </c>
      <c r="I6" s="182"/>
      <c r="J6" s="182"/>
      <c r="K6" s="182"/>
    </row>
    <row r="7" spans="1:11" s="1" customFormat="1" ht="63.75" customHeight="1">
      <c r="A7" s="102"/>
      <c r="B7" s="82"/>
      <c r="C7" s="128"/>
      <c r="D7" s="93"/>
      <c r="E7" s="69"/>
      <c r="F7" s="69"/>
      <c r="G7" s="69"/>
      <c r="H7" s="186"/>
      <c r="I7" s="186"/>
      <c r="J7" s="187" t="s">
        <v>405</v>
      </c>
      <c r="K7" s="188" t="s">
        <v>406</v>
      </c>
    </row>
    <row r="8" spans="1:11" s="1" customFormat="1" ht="15.75">
      <c r="A8" s="163" t="s">
        <v>407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</row>
    <row r="9" spans="1:11" s="1" customFormat="1" ht="15.75">
      <c r="A9" s="163" t="s">
        <v>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 s="1" customFormat="1" ht="15.75">
      <c r="A10" s="163" t="s">
        <v>112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s="1" customFormat="1" ht="15.75">
      <c r="A11" s="102"/>
      <c r="B11" s="2"/>
      <c r="C11" s="127"/>
      <c r="K11" s="70"/>
    </row>
    <row r="12" spans="1:11" s="3" customFormat="1" ht="51" customHeight="1">
      <c r="A12" s="167" t="s">
        <v>3</v>
      </c>
      <c r="B12" s="164" t="s">
        <v>152</v>
      </c>
      <c r="C12" s="183" t="s">
        <v>151</v>
      </c>
      <c r="D12" s="184"/>
      <c r="E12" s="184"/>
      <c r="F12" s="184"/>
      <c r="G12" s="184"/>
      <c r="H12" s="184"/>
      <c r="I12" s="184"/>
      <c r="J12" s="185"/>
      <c r="K12" s="164" t="s">
        <v>6</v>
      </c>
    </row>
    <row r="13" spans="1:11" s="3" customFormat="1" ht="30.75" customHeight="1">
      <c r="A13" s="168"/>
      <c r="B13" s="166"/>
      <c r="C13" s="164" t="s">
        <v>5</v>
      </c>
      <c r="D13" s="5" t="s">
        <v>154</v>
      </c>
      <c r="E13" s="5" t="s">
        <v>155</v>
      </c>
      <c r="F13" s="5" t="s">
        <v>156</v>
      </c>
      <c r="G13" s="5" t="s">
        <v>157</v>
      </c>
      <c r="H13" s="5" t="s">
        <v>158</v>
      </c>
      <c r="I13" s="5" t="s">
        <v>159</v>
      </c>
      <c r="J13" s="5" t="s">
        <v>160</v>
      </c>
      <c r="K13" s="165"/>
    </row>
    <row r="14" spans="1:11" s="3" customFormat="1" ht="15.75" customHeight="1">
      <c r="A14" s="169"/>
      <c r="B14" s="165"/>
      <c r="C14" s="165"/>
      <c r="D14" s="5">
        <v>2014</v>
      </c>
      <c r="E14" s="5">
        <v>2015</v>
      </c>
      <c r="F14" s="5">
        <v>2016</v>
      </c>
      <c r="G14" s="5">
        <v>2017</v>
      </c>
      <c r="H14" s="5">
        <v>2018</v>
      </c>
      <c r="I14" s="5">
        <v>2019</v>
      </c>
      <c r="J14" s="5">
        <v>2020</v>
      </c>
      <c r="K14" s="4"/>
    </row>
    <row r="15" spans="1:11" s="24" customFormat="1" ht="30" customHeight="1">
      <c r="A15" s="103">
        <v>1</v>
      </c>
      <c r="B15" s="48" t="s">
        <v>62</v>
      </c>
      <c r="C15" s="49">
        <f>SUM(D15:J15)</f>
        <v>5038626.192999999</v>
      </c>
      <c r="D15" s="49">
        <f aca="true" t="shared" si="0" ref="D15:J15">SUM(D16:D19)</f>
        <v>707299.1</v>
      </c>
      <c r="E15" s="138">
        <f t="shared" si="0"/>
        <v>709690.8929999999</v>
      </c>
      <c r="F15" s="49">
        <f t="shared" si="0"/>
        <v>601274</v>
      </c>
      <c r="G15" s="49">
        <f t="shared" si="0"/>
        <v>703983.3</v>
      </c>
      <c r="H15" s="49">
        <f t="shared" si="0"/>
        <v>776796.3</v>
      </c>
      <c r="I15" s="49">
        <f t="shared" si="0"/>
        <v>771766.3</v>
      </c>
      <c r="J15" s="49">
        <f t="shared" si="0"/>
        <v>767816.3</v>
      </c>
      <c r="K15" s="71"/>
    </row>
    <row r="16" spans="1:12" s="26" customFormat="1" ht="15" customHeight="1">
      <c r="A16" s="104">
        <v>2</v>
      </c>
      <c r="B16" s="6" t="s">
        <v>7</v>
      </c>
      <c r="C16" s="17">
        <f aca="true" t="shared" si="1" ref="C16:D19">SUM(C22+C28)</f>
        <v>2202815.2419999996</v>
      </c>
      <c r="D16" s="53">
        <f t="shared" si="1"/>
        <v>315595.0999999999</v>
      </c>
      <c r="E16" s="137">
        <f aca="true" t="shared" si="2" ref="E16:F19">SUM(E22+E28)</f>
        <v>320877.442</v>
      </c>
      <c r="F16" s="155">
        <f t="shared" si="2"/>
        <v>223211.7</v>
      </c>
      <c r="G16" s="53">
        <f aca="true" t="shared" si="3" ref="G16:J19">SUM(G22+G28)</f>
        <v>324346</v>
      </c>
      <c r="H16" s="53">
        <f t="shared" si="3"/>
        <v>344265</v>
      </c>
      <c r="I16" s="53">
        <f t="shared" si="3"/>
        <v>339235</v>
      </c>
      <c r="J16" s="53">
        <f t="shared" si="3"/>
        <v>335285</v>
      </c>
      <c r="K16" s="90"/>
      <c r="L16" s="145"/>
    </row>
    <row r="17" spans="1:12" s="26" customFormat="1" ht="15" customHeight="1">
      <c r="A17" s="104">
        <v>3</v>
      </c>
      <c r="B17" s="6" t="s">
        <v>8</v>
      </c>
      <c r="C17" s="17">
        <f t="shared" si="1"/>
        <v>16399.231</v>
      </c>
      <c r="D17" s="53">
        <f t="shared" si="1"/>
        <v>13957.800000000001</v>
      </c>
      <c r="E17" s="137">
        <f>SUM(E23+E29)</f>
        <v>2441.431</v>
      </c>
      <c r="F17" s="53">
        <f t="shared" si="2"/>
        <v>0</v>
      </c>
      <c r="G17" s="53">
        <f t="shared" si="3"/>
        <v>0</v>
      </c>
      <c r="H17" s="53">
        <f t="shared" si="3"/>
        <v>0</v>
      </c>
      <c r="I17" s="53">
        <f t="shared" si="3"/>
        <v>0</v>
      </c>
      <c r="J17" s="53">
        <f t="shared" si="3"/>
        <v>0</v>
      </c>
      <c r="K17" s="90"/>
      <c r="L17" s="145"/>
    </row>
    <row r="18" spans="1:12" s="26" customFormat="1" ht="15" customHeight="1">
      <c r="A18" s="104">
        <v>4</v>
      </c>
      <c r="B18" s="6" t="s">
        <v>9</v>
      </c>
      <c r="C18" s="17">
        <f t="shared" si="1"/>
        <v>2537714.32</v>
      </c>
      <c r="D18" s="53">
        <f>SUM(D24+D30)</f>
        <v>342548.8</v>
      </c>
      <c r="E18" s="137">
        <f>SUM(E24+E30)</f>
        <v>348372.02</v>
      </c>
      <c r="F18" s="53">
        <f t="shared" si="2"/>
        <v>336362.3</v>
      </c>
      <c r="G18" s="53">
        <f t="shared" si="3"/>
        <v>337937.3</v>
      </c>
      <c r="H18" s="53">
        <f t="shared" si="3"/>
        <v>390831.3</v>
      </c>
      <c r="I18" s="53">
        <f t="shared" si="3"/>
        <v>390831.3</v>
      </c>
      <c r="J18" s="53">
        <f t="shared" si="3"/>
        <v>390831.3</v>
      </c>
      <c r="K18" s="90"/>
      <c r="L18" s="145"/>
    </row>
    <row r="19" spans="1:12" s="26" customFormat="1" ht="15" customHeight="1">
      <c r="A19" s="104">
        <v>5</v>
      </c>
      <c r="B19" s="6" t="s">
        <v>10</v>
      </c>
      <c r="C19" s="17">
        <f t="shared" si="1"/>
        <v>281697.4</v>
      </c>
      <c r="D19" s="53">
        <f t="shared" si="1"/>
        <v>35197.4</v>
      </c>
      <c r="E19" s="137">
        <f t="shared" si="2"/>
        <v>38000</v>
      </c>
      <c r="F19" s="53">
        <f t="shared" si="2"/>
        <v>41700</v>
      </c>
      <c r="G19" s="53">
        <f t="shared" si="3"/>
        <v>41700</v>
      </c>
      <c r="H19" s="53">
        <f t="shared" si="3"/>
        <v>41700</v>
      </c>
      <c r="I19" s="53">
        <f t="shared" si="3"/>
        <v>41700</v>
      </c>
      <c r="J19" s="53">
        <f t="shared" si="3"/>
        <v>41700</v>
      </c>
      <c r="K19" s="90"/>
      <c r="L19" s="145"/>
    </row>
    <row r="20" spans="1:11" s="26" customFormat="1" ht="15" customHeight="1">
      <c r="A20" s="104"/>
      <c r="B20" s="6"/>
      <c r="C20" s="129"/>
      <c r="D20" s="37"/>
      <c r="E20" s="37"/>
      <c r="F20" s="37"/>
      <c r="G20" s="37"/>
      <c r="H20" s="37"/>
      <c r="I20" s="37"/>
      <c r="J20" s="37"/>
      <c r="K20" s="72"/>
    </row>
    <row r="21" spans="1:11" s="28" customFormat="1" ht="30" customHeight="1">
      <c r="A21" s="105">
        <v>6</v>
      </c>
      <c r="B21" s="50" t="s">
        <v>39</v>
      </c>
      <c r="C21" s="51">
        <f>SUM(C22:C25)</f>
        <v>152955.8</v>
      </c>
      <c r="D21" s="51">
        <f aca="true" t="shared" si="4" ref="D21:J21">SUM(D22:D25)</f>
        <v>54205.799999999996</v>
      </c>
      <c r="E21" s="51">
        <f t="shared" si="4"/>
        <v>7500</v>
      </c>
      <c r="F21" s="51">
        <f t="shared" si="4"/>
        <v>20000</v>
      </c>
      <c r="G21" s="51">
        <f t="shared" si="4"/>
        <v>15000</v>
      </c>
      <c r="H21" s="51">
        <f t="shared" si="4"/>
        <v>22250</v>
      </c>
      <c r="I21" s="51">
        <f t="shared" si="4"/>
        <v>16250</v>
      </c>
      <c r="J21" s="51">
        <f t="shared" si="4"/>
        <v>17750</v>
      </c>
      <c r="K21" s="71"/>
    </row>
    <row r="22" spans="1:11" s="26" customFormat="1" ht="15" customHeight="1">
      <c r="A22" s="104">
        <v>7</v>
      </c>
      <c r="B22" s="6" t="s">
        <v>7</v>
      </c>
      <c r="C22" s="17">
        <f aca="true" t="shared" si="5" ref="C22:J22">SUM(C41+C141+C272+C297+C329+C384)</f>
        <v>104844.5</v>
      </c>
      <c r="D22" s="16">
        <f t="shared" si="5"/>
        <v>6094.5</v>
      </c>
      <c r="E22" s="16">
        <f t="shared" si="5"/>
        <v>7500</v>
      </c>
      <c r="F22" s="16">
        <f t="shared" si="5"/>
        <v>20000</v>
      </c>
      <c r="G22" s="16">
        <f t="shared" si="5"/>
        <v>15000</v>
      </c>
      <c r="H22" s="16">
        <f t="shared" si="5"/>
        <v>22250</v>
      </c>
      <c r="I22" s="16">
        <f t="shared" si="5"/>
        <v>16250</v>
      </c>
      <c r="J22" s="16">
        <f t="shared" si="5"/>
        <v>17750</v>
      </c>
      <c r="K22" s="90"/>
    </row>
    <row r="23" spans="1:11" s="26" customFormat="1" ht="15" customHeight="1">
      <c r="A23" s="104">
        <v>8</v>
      </c>
      <c r="B23" s="6" t="s">
        <v>8</v>
      </c>
      <c r="C23" s="17">
        <f aca="true" t="shared" si="6" ref="C23:J23">SUM(C42+C330)</f>
        <v>12802.1</v>
      </c>
      <c r="D23" s="16">
        <f t="shared" si="6"/>
        <v>12802.1</v>
      </c>
      <c r="E23" s="16">
        <f t="shared" si="6"/>
        <v>0</v>
      </c>
      <c r="F23" s="16">
        <f t="shared" si="6"/>
        <v>0</v>
      </c>
      <c r="G23" s="16">
        <f t="shared" si="6"/>
        <v>0</v>
      </c>
      <c r="H23" s="16">
        <f t="shared" si="6"/>
        <v>0</v>
      </c>
      <c r="I23" s="16">
        <f t="shared" si="6"/>
        <v>0</v>
      </c>
      <c r="J23" s="16">
        <f t="shared" si="6"/>
        <v>0</v>
      </c>
      <c r="K23" s="72"/>
    </row>
    <row r="24" spans="1:11" s="26" customFormat="1" ht="15" customHeight="1">
      <c r="A24" s="104">
        <v>9</v>
      </c>
      <c r="B24" s="6" t="s">
        <v>9</v>
      </c>
      <c r="C24" s="17">
        <f aca="true" t="shared" si="7" ref="C24:J24">SUM(C43+C268+C331)</f>
        <v>35309.2</v>
      </c>
      <c r="D24" s="16">
        <f t="shared" si="7"/>
        <v>35309.2</v>
      </c>
      <c r="E24" s="16">
        <f t="shared" si="7"/>
        <v>0</v>
      </c>
      <c r="F24" s="16">
        <f t="shared" si="7"/>
        <v>0</v>
      </c>
      <c r="G24" s="16">
        <f t="shared" si="7"/>
        <v>0</v>
      </c>
      <c r="H24" s="16">
        <f t="shared" si="7"/>
        <v>0</v>
      </c>
      <c r="I24" s="16">
        <f t="shared" si="7"/>
        <v>0</v>
      </c>
      <c r="J24" s="16">
        <f t="shared" si="7"/>
        <v>0</v>
      </c>
      <c r="K24" s="90"/>
    </row>
    <row r="25" spans="1:11" s="26" customFormat="1" ht="15" customHeight="1">
      <c r="A25" s="104">
        <v>10</v>
      </c>
      <c r="B25" s="6" t="s">
        <v>10</v>
      </c>
      <c r="C25" s="17">
        <f>SUM(D25:J25)</f>
        <v>0</v>
      </c>
      <c r="D25" s="16">
        <f>SUM(D44)</f>
        <v>0</v>
      </c>
      <c r="E25" s="16">
        <f aca="true" t="shared" si="8" ref="E25:J25">SUM(E44)</f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72"/>
    </row>
    <row r="26" spans="1:11" s="26" customFormat="1" ht="15" customHeight="1">
      <c r="A26" s="104"/>
      <c r="B26" s="6"/>
      <c r="C26" s="129"/>
      <c r="D26" s="37"/>
      <c r="E26" s="37"/>
      <c r="F26" s="37"/>
      <c r="G26" s="37"/>
      <c r="H26" s="37"/>
      <c r="I26" s="37"/>
      <c r="J26" s="37"/>
      <c r="K26" s="72"/>
    </row>
    <row r="27" spans="1:11" s="28" customFormat="1" ht="30" customHeight="1">
      <c r="A27" s="105">
        <v>11</v>
      </c>
      <c r="B27" s="50" t="s">
        <v>113</v>
      </c>
      <c r="C27" s="51">
        <f>SUM(C28:C31)</f>
        <v>4885670.392999999</v>
      </c>
      <c r="D27" s="51">
        <f aca="true" t="shared" si="9" ref="D27:J27">SUM(D28:D31)</f>
        <v>653093.2999999999</v>
      </c>
      <c r="E27" s="51">
        <f t="shared" si="9"/>
        <v>702190.8929999999</v>
      </c>
      <c r="F27" s="51">
        <f t="shared" si="9"/>
        <v>581274</v>
      </c>
      <c r="G27" s="51">
        <f t="shared" si="9"/>
        <v>688983.3</v>
      </c>
      <c r="H27" s="51">
        <f t="shared" si="9"/>
        <v>754546.3</v>
      </c>
      <c r="I27" s="51">
        <f t="shared" si="9"/>
        <v>755516.3</v>
      </c>
      <c r="J27" s="51">
        <f t="shared" si="9"/>
        <v>750066.3</v>
      </c>
      <c r="K27" s="71"/>
    </row>
    <row r="28" spans="1:11" s="26" customFormat="1" ht="15" customHeight="1">
      <c r="A28" s="104">
        <v>12</v>
      </c>
      <c r="B28" s="6" t="s">
        <v>7</v>
      </c>
      <c r="C28" s="17">
        <f>SUM(D28:J28)</f>
        <v>2097970.7419999996</v>
      </c>
      <c r="D28" s="16">
        <f aca="true" t="shared" si="10" ref="D28:J28">SUM(D67+D173+D281+D303+D347+D390)</f>
        <v>309500.5999999999</v>
      </c>
      <c r="E28" s="16">
        <f t="shared" si="10"/>
        <v>313377.442</v>
      </c>
      <c r="F28" s="16">
        <f t="shared" si="10"/>
        <v>203211.7</v>
      </c>
      <c r="G28" s="16">
        <f t="shared" si="10"/>
        <v>309346</v>
      </c>
      <c r="H28" s="16">
        <f t="shared" si="10"/>
        <v>322015</v>
      </c>
      <c r="I28" s="16">
        <f t="shared" si="10"/>
        <v>322985</v>
      </c>
      <c r="J28" s="16">
        <f t="shared" si="10"/>
        <v>317535</v>
      </c>
      <c r="K28" s="90"/>
    </row>
    <row r="29" spans="1:11" s="26" customFormat="1" ht="15" customHeight="1">
      <c r="A29" s="104">
        <v>13</v>
      </c>
      <c r="B29" s="6" t="s">
        <v>8</v>
      </c>
      <c r="C29" s="17">
        <f>SUM(D29:J29)</f>
        <v>3597.1310000000003</v>
      </c>
      <c r="D29" s="16">
        <f aca="true" t="shared" si="11" ref="D29:J29">SUM(D68+D174+D304+D391)</f>
        <v>1155.7</v>
      </c>
      <c r="E29" s="16">
        <f t="shared" si="11"/>
        <v>2441.431</v>
      </c>
      <c r="F29" s="16">
        <f t="shared" si="11"/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90"/>
    </row>
    <row r="30" spans="1:12" s="26" customFormat="1" ht="15" customHeight="1">
      <c r="A30" s="104">
        <v>14</v>
      </c>
      <c r="B30" s="6" t="s">
        <v>9</v>
      </c>
      <c r="C30" s="17">
        <f>SUM(D30:J30)</f>
        <v>2502405.1199999996</v>
      </c>
      <c r="D30" s="16">
        <f aca="true" t="shared" si="12" ref="D30:J30">SUM(D69+D175+D305+D395)</f>
        <v>307239.6</v>
      </c>
      <c r="E30" s="16">
        <f t="shared" si="12"/>
        <v>348372.02</v>
      </c>
      <c r="F30" s="16">
        <f t="shared" si="12"/>
        <v>336362.3</v>
      </c>
      <c r="G30" s="16">
        <f t="shared" si="12"/>
        <v>337937.3</v>
      </c>
      <c r="H30" s="16">
        <f t="shared" si="12"/>
        <v>390831.3</v>
      </c>
      <c r="I30" s="16">
        <f t="shared" si="12"/>
        <v>390831.3</v>
      </c>
      <c r="J30" s="16">
        <f t="shared" si="12"/>
        <v>390831.3</v>
      </c>
      <c r="K30" s="90"/>
      <c r="L30" s="91"/>
    </row>
    <row r="31" spans="1:11" s="26" customFormat="1" ht="15" customHeight="1">
      <c r="A31" s="104">
        <v>15</v>
      </c>
      <c r="B31" s="6" t="s">
        <v>10</v>
      </c>
      <c r="C31" s="17">
        <f>SUM(D31:J31)</f>
        <v>281697.4</v>
      </c>
      <c r="D31" s="16">
        <f aca="true" t="shared" si="13" ref="D31:J31">SUM(D70+D176)</f>
        <v>35197.4</v>
      </c>
      <c r="E31" s="16">
        <f t="shared" si="13"/>
        <v>38000</v>
      </c>
      <c r="F31" s="16">
        <f t="shared" si="13"/>
        <v>41700</v>
      </c>
      <c r="G31" s="16">
        <f t="shared" si="13"/>
        <v>41700</v>
      </c>
      <c r="H31" s="16">
        <f t="shared" si="13"/>
        <v>41700</v>
      </c>
      <c r="I31" s="16">
        <f t="shared" si="13"/>
        <v>41700</v>
      </c>
      <c r="J31" s="16">
        <f t="shared" si="13"/>
        <v>41700</v>
      </c>
      <c r="K31" s="90"/>
    </row>
    <row r="32" spans="1:11" s="26" customFormat="1" ht="15" customHeight="1">
      <c r="A32" s="104"/>
      <c r="B32" s="25"/>
      <c r="C32" s="130"/>
      <c r="D32" s="27"/>
      <c r="E32" s="27"/>
      <c r="F32" s="27"/>
      <c r="G32" s="27"/>
      <c r="H32" s="27"/>
      <c r="I32" s="27"/>
      <c r="J32" s="27"/>
      <c r="K32" s="72"/>
    </row>
    <row r="33" spans="1:11" s="8" customFormat="1" ht="15" customHeight="1">
      <c r="A33" s="106"/>
      <c r="B33" s="176" t="s">
        <v>0</v>
      </c>
      <c r="C33" s="177"/>
      <c r="D33" s="177"/>
      <c r="E33" s="177"/>
      <c r="F33" s="177"/>
      <c r="G33" s="177"/>
      <c r="H33" s="177"/>
      <c r="I33" s="177"/>
      <c r="J33" s="177"/>
      <c r="K33" s="178"/>
    </row>
    <row r="34" spans="1:11" s="40" customFormat="1" ht="33" customHeight="1">
      <c r="A34" s="107">
        <v>16</v>
      </c>
      <c r="B34" s="44" t="s">
        <v>14</v>
      </c>
      <c r="C34" s="19">
        <f>SUM(C35:C38)</f>
        <v>2004358.9</v>
      </c>
      <c r="D34" s="17">
        <f>SUM(D35:D38)</f>
        <v>286746.60000000003</v>
      </c>
      <c r="E34" s="141">
        <f aca="true" t="shared" si="14" ref="E34:J34">SUM(E35:E38)</f>
        <v>312017.6</v>
      </c>
      <c r="F34" s="17">
        <f t="shared" si="14"/>
        <v>228093.1</v>
      </c>
      <c r="G34" s="17">
        <f t="shared" si="14"/>
        <v>278873.6</v>
      </c>
      <c r="H34" s="17">
        <f t="shared" si="14"/>
        <v>298876</v>
      </c>
      <c r="I34" s="17">
        <f t="shared" si="14"/>
        <v>299876</v>
      </c>
      <c r="J34" s="17">
        <f t="shared" si="14"/>
        <v>299876</v>
      </c>
      <c r="K34" s="73"/>
    </row>
    <row r="35" spans="1:11" s="9" customFormat="1" ht="15" customHeight="1">
      <c r="A35" s="108">
        <v>17</v>
      </c>
      <c r="B35" s="11" t="s">
        <v>7</v>
      </c>
      <c r="C35" s="19">
        <f>SUM(D35:J35)</f>
        <v>835595.6</v>
      </c>
      <c r="D35" s="16">
        <f aca="true" t="shared" si="15" ref="D35:J35">SUM(D41+D67)</f>
        <v>108807.3</v>
      </c>
      <c r="E35" s="142">
        <f t="shared" si="15"/>
        <v>142834.59999999998</v>
      </c>
      <c r="F35" s="155">
        <f t="shared" si="15"/>
        <v>75497.1</v>
      </c>
      <c r="G35" s="16">
        <f t="shared" si="15"/>
        <v>126176.6</v>
      </c>
      <c r="H35" s="16">
        <f t="shared" si="15"/>
        <v>126760</v>
      </c>
      <c r="I35" s="16">
        <f t="shared" si="15"/>
        <v>127760</v>
      </c>
      <c r="J35" s="16">
        <f t="shared" si="15"/>
        <v>127760</v>
      </c>
      <c r="K35" s="74"/>
    </row>
    <row r="36" spans="1:11" s="9" customFormat="1" ht="15" customHeight="1">
      <c r="A36" s="108">
        <v>18</v>
      </c>
      <c r="B36" s="11" t="s">
        <v>8</v>
      </c>
      <c r="C36" s="19">
        <f>SUM(D36:J36)</f>
        <v>12802.1</v>
      </c>
      <c r="D36" s="53">
        <f>SUM(D42)</f>
        <v>12802.1</v>
      </c>
      <c r="E36" s="142">
        <f aca="true" t="shared" si="16" ref="E36:J36">SUM(E42)</f>
        <v>0</v>
      </c>
      <c r="F36" s="16">
        <f t="shared" si="16"/>
        <v>0</v>
      </c>
      <c r="G36" s="16">
        <f t="shared" si="16"/>
        <v>0</v>
      </c>
      <c r="H36" s="16">
        <f t="shared" si="16"/>
        <v>0</v>
      </c>
      <c r="I36" s="16">
        <f t="shared" si="16"/>
        <v>0</v>
      </c>
      <c r="J36" s="16">
        <f t="shared" si="16"/>
        <v>0</v>
      </c>
      <c r="K36" s="74"/>
    </row>
    <row r="37" spans="1:11" s="9" customFormat="1" ht="15" customHeight="1">
      <c r="A37" s="108">
        <v>19</v>
      </c>
      <c r="B37" s="11" t="s">
        <v>9</v>
      </c>
      <c r="C37" s="19">
        <f>SUM(D37:J37)</f>
        <v>886961.2</v>
      </c>
      <c r="D37" s="16">
        <f>SUM(D43+D69)</f>
        <v>134137.2</v>
      </c>
      <c r="E37" s="142">
        <f aca="true" t="shared" si="17" ref="E37:J37">SUM(E43+E69)</f>
        <v>131183</v>
      </c>
      <c r="F37" s="16">
        <f t="shared" si="17"/>
        <v>112596</v>
      </c>
      <c r="G37" s="16">
        <f t="shared" si="17"/>
        <v>112697</v>
      </c>
      <c r="H37" s="16">
        <f t="shared" si="17"/>
        <v>132116</v>
      </c>
      <c r="I37" s="16">
        <f t="shared" si="17"/>
        <v>132116</v>
      </c>
      <c r="J37" s="16">
        <f t="shared" si="17"/>
        <v>132116</v>
      </c>
      <c r="K37" s="74"/>
    </row>
    <row r="38" spans="1:11" s="9" customFormat="1" ht="15" customHeight="1">
      <c r="A38" s="108">
        <v>20</v>
      </c>
      <c r="B38" s="11" t="s">
        <v>10</v>
      </c>
      <c r="C38" s="19">
        <f>SUM(D38:J38)</f>
        <v>269000</v>
      </c>
      <c r="D38" s="16">
        <f>SUM(D70)</f>
        <v>31000</v>
      </c>
      <c r="E38" s="142">
        <f aca="true" t="shared" si="18" ref="E38:J38">SUM(E70)</f>
        <v>38000</v>
      </c>
      <c r="F38" s="16">
        <f t="shared" si="18"/>
        <v>40000</v>
      </c>
      <c r="G38" s="16">
        <f t="shared" si="18"/>
        <v>40000</v>
      </c>
      <c r="H38" s="16">
        <f t="shared" si="18"/>
        <v>40000</v>
      </c>
      <c r="I38" s="16">
        <f t="shared" si="18"/>
        <v>40000</v>
      </c>
      <c r="J38" s="16">
        <f t="shared" si="18"/>
        <v>40000</v>
      </c>
      <c r="K38" s="74"/>
    </row>
    <row r="39" spans="1:11" s="9" customFormat="1" ht="15" customHeight="1">
      <c r="A39" s="109"/>
      <c r="B39" s="173" t="s">
        <v>11</v>
      </c>
      <c r="C39" s="174"/>
      <c r="D39" s="174"/>
      <c r="E39" s="174"/>
      <c r="F39" s="174"/>
      <c r="G39" s="174"/>
      <c r="H39" s="174"/>
      <c r="I39" s="174"/>
      <c r="J39" s="174"/>
      <c r="K39" s="175"/>
    </row>
    <row r="40" spans="1:12" s="40" customFormat="1" ht="31.5" customHeight="1">
      <c r="A40" s="107">
        <v>21</v>
      </c>
      <c r="B40" s="44" t="s">
        <v>330</v>
      </c>
      <c r="C40" s="19">
        <f>SUM(D40:J40)</f>
        <v>49099.1</v>
      </c>
      <c r="D40" s="17">
        <f>SUM(D41:D44)</f>
        <v>49099.1</v>
      </c>
      <c r="E40" s="17">
        <f aca="true" t="shared" si="19" ref="E40:J40">SUM(E41:E44)</f>
        <v>0</v>
      </c>
      <c r="F40" s="17">
        <f t="shared" si="19"/>
        <v>0</v>
      </c>
      <c r="G40" s="17">
        <f t="shared" si="19"/>
        <v>0</v>
      </c>
      <c r="H40" s="17">
        <f t="shared" si="19"/>
        <v>0</v>
      </c>
      <c r="I40" s="17">
        <f t="shared" si="19"/>
        <v>0</v>
      </c>
      <c r="J40" s="17">
        <f t="shared" si="19"/>
        <v>0</v>
      </c>
      <c r="K40" s="75"/>
      <c r="L40" s="139"/>
    </row>
    <row r="41" spans="1:11" s="9" customFormat="1" ht="15" customHeight="1">
      <c r="A41" s="108">
        <v>22</v>
      </c>
      <c r="B41" s="11" t="s">
        <v>7</v>
      </c>
      <c r="C41" s="19">
        <f>SUM(D41:J41)</f>
        <v>1737.8</v>
      </c>
      <c r="D41" s="16">
        <f aca="true" t="shared" si="20" ref="D41:J41">SUM(D47+D60)</f>
        <v>1737.8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  <c r="I41" s="16">
        <f t="shared" si="20"/>
        <v>0</v>
      </c>
      <c r="J41" s="16">
        <f t="shared" si="20"/>
        <v>0</v>
      </c>
      <c r="K41" s="74"/>
    </row>
    <row r="42" spans="1:11" s="9" customFormat="1" ht="15" customHeight="1">
      <c r="A42" s="108">
        <v>23</v>
      </c>
      <c r="B42" s="11" t="s">
        <v>8</v>
      </c>
      <c r="C42" s="19">
        <f>SUM(D42:J42)</f>
        <v>12802.1</v>
      </c>
      <c r="D42" s="53">
        <f>SUM(D48)</f>
        <v>12802.1</v>
      </c>
      <c r="E42" s="16">
        <f aca="true" t="shared" si="21" ref="E42:J42">SUM(E48)</f>
        <v>0</v>
      </c>
      <c r="F42" s="16">
        <f t="shared" si="21"/>
        <v>0</v>
      </c>
      <c r="G42" s="16">
        <f t="shared" si="21"/>
        <v>0</v>
      </c>
      <c r="H42" s="16">
        <f t="shared" si="21"/>
        <v>0</v>
      </c>
      <c r="I42" s="16">
        <f t="shared" si="21"/>
        <v>0</v>
      </c>
      <c r="J42" s="16">
        <f t="shared" si="21"/>
        <v>0</v>
      </c>
      <c r="K42" s="74"/>
    </row>
    <row r="43" spans="1:11" s="9" customFormat="1" ht="15" customHeight="1">
      <c r="A43" s="108">
        <v>24</v>
      </c>
      <c r="B43" s="11" t="s">
        <v>9</v>
      </c>
      <c r="C43" s="19">
        <f>SUM(D43:J43)</f>
        <v>34559.2</v>
      </c>
      <c r="D43" s="16">
        <f aca="true" t="shared" si="22" ref="D43:J43">SUM(D49+D62)</f>
        <v>34559.2</v>
      </c>
      <c r="E43" s="16">
        <f t="shared" si="22"/>
        <v>0</v>
      </c>
      <c r="F43" s="16">
        <f t="shared" si="22"/>
        <v>0</v>
      </c>
      <c r="G43" s="16">
        <f t="shared" si="22"/>
        <v>0</v>
      </c>
      <c r="H43" s="16">
        <f t="shared" si="22"/>
        <v>0</v>
      </c>
      <c r="I43" s="16">
        <f t="shared" si="22"/>
        <v>0</v>
      </c>
      <c r="J43" s="16">
        <f t="shared" si="22"/>
        <v>0</v>
      </c>
      <c r="K43" s="74"/>
    </row>
    <row r="44" spans="1:11" s="9" customFormat="1" ht="15" customHeight="1">
      <c r="A44" s="108">
        <v>25</v>
      </c>
      <c r="B44" s="11" t="s">
        <v>10</v>
      </c>
      <c r="C44" s="19">
        <f>SUM(D44:J44)</f>
        <v>0</v>
      </c>
      <c r="D44" s="16"/>
      <c r="E44" s="16"/>
      <c r="F44" s="16"/>
      <c r="G44" s="16"/>
      <c r="H44" s="16"/>
      <c r="I44" s="16"/>
      <c r="J44" s="16"/>
      <c r="K44" s="74"/>
    </row>
    <row r="45" spans="1:11" s="9" customFormat="1" ht="15" customHeight="1">
      <c r="A45" s="110"/>
      <c r="B45" s="170" t="s">
        <v>12</v>
      </c>
      <c r="C45" s="171"/>
      <c r="D45" s="171"/>
      <c r="E45" s="171"/>
      <c r="F45" s="171"/>
      <c r="G45" s="171"/>
      <c r="H45" s="171"/>
      <c r="I45" s="171"/>
      <c r="J45" s="171"/>
      <c r="K45" s="172"/>
    </row>
    <row r="46" spans="1:11" s="40" customFormat="1" ht="45.75" customHeight="1">
      <c r="A46" s="107">
        <v>26</v>
      </c>
      <c r="B46" s="44" t="s">
        <v>331</v>
      </c>
      <c r="C46" s="19">
        <f>SUM(C47:C50)</f>
        <v>49099.1</v>
      </c>
      <c r="D46" s="19">
        <f aca="true" t="shared" si="23" ref="D46:J46">SUM(D47:D50)</f>
        <v>49099.1</v>
      </c>
      <c r="E46" s="19">
        <f t="shared" si="23"/>
        <v>0</v>
      </c>
      <c r="F46" s="19">
        <f t="shared" si="23"/>
        <v>0</v>
      </c>
      <c r="G46" s="19">
        <f t="shared" si="23"/>
        <v>0</v>
      </c>
      <c r="H46" s="19">
        <f t="shared" si="23"/>
        <v>0</v>
      </c>
      <c r="I46" s="19">
        <f t="shared" si="23"/>
        <v>0</v>
      </c>
      <c r="J46" s="19">
        <f t="shared" si="23"/>
        <v>0</v>
      </c>
      <c r="K46" s="74"/>
    </row>
    <row r="47" spans="1:11" s="9" customFormat="1" ht="15" customHeight="1">
      <c r="A47" s="108">
        <v>27</v>
      </c>
      <c r="B47" s="11" t="s">
        <v>7</v>
      </c>
      <c r="C47" s="19">
        <f>SUM(D47:J47)</f>
        <v>1737.8</v>
      </c>
      <c r="D47" s="18">
        <f aca="true" t="shared" si="24" ref="D47:E49">SUM(D53)</f>
        <v>1737.8</v>
      </c>
      <c r="E47" s="18">
        <f t="shared" si="24"/>
        <v>0</v>
      </c>
      <c r="F47" s="18"/>
      <c r="G47" s="18"/>
      <c r="H47" s="18"/>
      <c r="I47" s="18"/>
      <c r="J47" s="18"/>
      <c r="K47" s="74"/>
    </row>
    <row r="48" spans="1:11" s="9" customFormat="1" ht="15" customHeight="1">
      <c r="A48" s="108">
        <v>28</v>
      </c>
      <c r="B48" s="11" t="s">
        <v>8</v>
      </c>
      <c r="C48" s="19">
        <f>SUM(D48:J48)</f>
        <v>12802.1</v>
      </c>
      <c r="D48" s="18">
        <f t="shared" si="24"/>
        <v>12802.1</v>
      </c>
      <c r="E48" s="18">
        <f t="shared" si="24"/>
        <v>0</v>
      </c>
      <c r="F48" s="18"/>
      <c r="G48" s="18"/>
      <c r="H48" s="18"/>
      <c r="I48" s="18"/>
      <c r="J48" s="18"/>
      <c r="K48" s="74"/>
    </row>
    <row r="49" spans="1:11" s="9" customFormat="1" ht="15" customHeight="1">
      <c r="A49" s="108">
        <v>29</v>
      </c>
      <c r="B49" s="11" t="s">
        <v>9</v>
      </c>
      <c r="C49" s="19">
        <f>SUM(D49:J49)</f>
        <v>34559.2</v>
      </c>
      <c r="D49" s="18">
        <f t="shared" si="24"/>
        <v>34559.2</v>
      </c>
      <c r="E49" s="18">
        <f t="shared" si="24"/>
        <v>0</v>
      </c>
      <c r="F49" s="18"/>
      <c r="G49" s="18"/>
      <c r="H49" s="18"/>
      <c r="I49" s="18"/>
      <c r="J49" s="18"/>
      <c r="K49" s="74"/>
    </row>
    <row r="50" spans="1:11" s="9" customFormat="1" ht="15" customHeight="1">
      <c r="A50" s="108">
        <v>30</v>
      </c>
      <c r="B50" s="11" t="s">
        <v>10</v>
      </c>
      <c r="C50" s="19">
        <f>SUM(D50:J50)</f>
        <v>0</v>
      </c>
      <c r="D50" s="53">
        <v>0</v>
      </c>
      <c r="E50" s="16">
        <v>0</v>
      </c>
      <c r="F50" s="16"/>
      <c r="G50" s="16"/>
      <c r="H50" s="16"/>
      <c r="I50" s="16"/>
      <c r="J50" s="16"/>
      <c r="K50" s="74"/>
    </row>
    <row r="51" spans="1:11" s="9" customFormat="1" ht="15" customHeight="1">
      <c r="A51" s="108"/>
      <c r="B51" s="11"/>
      <c r="C51" s="19"/>
      <c r="D51" s="87"/>
      <c r="E51" s="18"/>
      <c r="F51" s="18"/>
      <c r="G51" s="18"/>
      <c r="H51" s="18"/>
      <c r="I51" s="18"/>
      <c r="J51" s="18"/>
      <c r="K51" s="74"/>
    </row>
    <row r="52" spans="1:11" s="9" customFormat="1" ht="50.25" customHeight="1">
      <c r="A52" s="108">
        <v>31</v>
      </c>
      <c r="B52" s="44" t="s">
        <v>335</v>
      </c>
      <c r="C52" s="19">
        <f>SUM(C53:C56)</f>
        <v>49099.1</v>
      </c>
      <c r="D52" s="19">
        <f aca="true" t="shared" si="25" ref="D52:J52">SUM(D53:D56)</f>
        <v>49099.1</v>
      </c>
      <c r="E52" s="19">
        <f t="shared" si="25"/>
        <v>0</v>
      </c>
      <c r="F52" s="19">
        <f t="shared" si="25"/>
        <v>0</v>
      </c>
      <c r="G52" s="19">
        <f t="shared" si="25"/>
        <v>0</v>
      </c>
      <c r="H52" s="19">
        <f t="shared" si="25"/>
        <v>0</v>
      </c>
      <c r="I52" s="19">
        <f t="shared" si="25"/>
        <v>0</v>
      </c>
      <c r="J52" s="19">
        <f t="shared" si="25"/>
        <v>0</v>
      </c>
      <c r="K52" s="74" t="s">
        <v>50</v>
      </c>
    </row>
    <row r="53" spans="1:11" s="9" customFormat="1" ht="15" customHeight="1">
      <c r="A53" s="108">
        <v>32</v>
      </c>
      <c r="B53" s="11" t="s">
        <v>7</v>
      </c>
      <c r="C53" s="19">
        <f>SUM(D53:J53)</f>
        <v>1737.8</v>
      </c>
      <c r="D53" s="53">
        <v>1737.8</v>
      </c>
      <c r="E53" s="16"/>
      <c r="F53" s="16"/>
      <c r="G53" s="16"/>
      <c r="H53" s="16"/>
      <c r="I53" s="16"/>
      <c r="J53" s="16"/>
      <c r="K53" s="74"/>
    </row>
    <row r="54" spans="1:11" s="9" customFormat="1" ht="15" customHeight="1">
      <c r="A54" s="108">
        <v>33</v>
      </c>
      <c r="B54" s="11" t="s">
        <v>8</v>
      </c>
      <c r="C54" s="19">
        <f>SUM(D54:J54)</f>
        <v>12802.1</v>
      </c>
      <c r="D54" s="53">
        <f>12802.1</f>
        <v>12802.1</v>
      </c>
      <c r="E54" s="16"/>
      <c r="F54" s="16"/>
      <c r="G54" s="16"/>
      <c r="H54" s="16"/>
      <c r="I54" s="16"/>
      <c r="J54" s="16"/>
      <c r="K54" s="74"/>
    </row>
    <row r="55" spans="1:11" s="9" customFormat="1" ht="15" customHeight="1">
      <c r="A55" s="108">
        <v>34</v>
      </c>
      <c r="B55" s="11" t="s">
        <v>9</v>
      </c>
      <c r="C55" s="19">
        <f>SUM(D55:J55)</f>
        <v>34559.2</v>
      </c>
      <c r="D55" s="53">
        <f>19406+18000+8675-11521.8</f>
        <v>34559.2</v>
      </c>
      <c r="E55" s="16"/>
      <c r="F55" s="16"/>
      <c r="G55" s="16"/>
      <c r="H55" s="16"/>
      <c r="I55" s="16"/>
      <c r="J55" s="16"/>
      <c r="K55" s="74"/>
    </row>
    <row r="56" spans="1:11" s="9" customFormat="1" ht="15" customHeight="1">
      <c r="A56" s="108">
        <v>35</v>
      </c>
      <c r="B56" s="11" t="s">
        <v>10</v>
      </c>
      <c r="C56" s="19">
        <f>SUM(D56:J56)</f>
        <v>0</v>
      </c>
      <c r="D56" s="53">
        <v>0</v>
      </c>
      <c r="E56" s="16"/>
      <c r="F56" s="16"/>
      <c r="G56" s="16"/>
      <c r="H56" s="16"/>
      <c r="I56" s="16"/>
      <c r="J56" s="16"/>
      <c r="K56" s="74"/>
    </row>
    <row r="57" spans="1:11" s="9" customFormat="1" ht="15" customHeight="1">
      <c r="A57" s="108"/>
      <c r="B57" s="11"/>
      <c r="C57" s="19"/>
      <c r="D57" s="53"/>
      <c r="E57" s="18"/>
      <c r="F57" s="18"/>
      <c r="G57" s="18"/>
      <c r="H57" s="18"/>
      <c r="I57" s="18"/>
      <c r="J57" s="18"/>
      <c r="K57" s="74"/>
    </row>
    <row r="58" spans="1:11" s="9" customFormat="1" ht="15" customHeight="1">
      <c r="A58" s="110"/>
      <c r="B58" s="170" t="s">
        <v>23</v>
      </c>
      <c r="C58" s="171"/>
      <c r="D58" s="171"/>
      <c r="E58" s="171"/>
      <c r="F58" s="171"/>
      <c r="G58" s="171"/>
      <c r="H58" s="171"/>
      <c r="I58" s="171"/>
      <c r="J58" s="171"/>
      <c r="K58" s="172"/>
    </row>
    <row r="59" spans="1:11" s="42" customFormat="1" ht="31.5">
      <c r="A59" s="111">
        <v>36</v>
      </c>
      <c r="B59" s="47" t="s">
        <v>332</v>
      </c>
      <c r="C59" s="41">
        <f>SUM(C60:C63)</f>
        <v>0</v>
      </c>
      <c r="D59" s="36">
        <f aca="true" t="shared" si="26" ref="D59:J59">SUM(D61:D63)</f>
        <v>0</v>
      </c>
      <c r="E59" s="36">
        <f>SUM(E60:E63)</f>
        <v>0</v>
      </c>
      <c r="F59" s="36">
        <f>SUM(F60:F63)</f>
        <v>0</v>
      </c>
      <c r="G59" s="36">
        <f t="shared" si="26"/>
        <v>0</v>
      </c>
      <c r="H59" s="36">
        <f t="shared" si="26"/>
        <v>0</v>
      </c>
      <c r="I59" s="36">
        <f t="shared" si="26"/>
        <v>0</v>
      </c>
      <c r="J59" s="36">
        <f t="shared" si="26"/>
        <v>0</v>
      </c>
      <c r="K59" s="77"/>
    </row>
    <row r="60" spans="1:11" s="15" customFormat="1" ht="15" customHeight="1">
      <c r="A60" s="112">
        <v>37</v>
      </c>
      <c r="B60" s="11" t="s">
        <v>7</v>
      </c>
      <c r="C60" s="41">
        <f>SUM(D60:J60)</f>
        <v>0</v>
      </c>
      <c r="D60" s="30"/>
      <c r="E60" s="30"/>
      <c r="F60" s="30"/>
      <c r="G60" s="30"/>
      <c r="H60" s="30"/>
      <c r="I60" s="30"/>
      <c r="J60" s="30"/>
      <c r="K60" s="78"/>
    </row>
    <row r="61" spans="1:11" s="32" customFormat="1" ht="15" customHeight="1">
      <c r="A61" s="113">
        <v>38</v>
      </c>
      <c r="B61" s="11" t="s">
        <v>8</v>
      </c>
      <c r="C61" s="41">
        <f>SUM(D61:J61)</f>
        <v>0</v>
      </c>
      <c r="D61" s="35"/>
      <c r="E61" s="31"/>
      <c r="F61" s="31"/>
      <c r="G61" s="31"/>
      <c r="H61" s="31"/>
      <c r="I61" s="31"/>
      <c r="J61" s="31"/>
      <c r="K61" s="79"/>
    </row>
    <row r="62" spans="1:11" s="15" customFormat="1" ht="15" customHeight="1">
      <c r="A62" s="112">
        <v>39</v>
      </c>
      <c r="B62" s="11" t="s">
        <v>9</v>
      </c>
      <c r="C62" s="41">
        <f>SUM(D62:J62)</f>
        <v>0</v>
      </c>
      <c r="D62" s="30"/>
      <c r="E62" s="30"/>
      <c r="F62" s="30"/>
      <c r="G62" s="30"/>
      <c r="H62" s="30"/>
      <c r="I62" s="30"/>
      <c r="J62" s="30"/>
      <c r="K62" s="78"/>
    </row>
    <row r="63" spans="1:11" s="15" customFormat="1" ht="15" customHeight="1">
      <c r="A63" s="112">
        <v>40</v>
      </c>
      <c r="B63" s="11" t="s">
        <v>10</v>
      </c>
      <c r="C63" s="41">
        <f>SUM(D63:J63)</f>
        <v>0</v>
      </c>
      <c r="D63" s="30"/>
      <c r="E63" s="30"/>
      <c r="F63" s="30"/>
      <c r="G63" s="30"/>
      <c r="H63" s="30"/>
      <c r="I63" s="30"/>
      <c r="J63" s="30"/>
      <c r="K63" s="78"/>
    </row>
    <row r="64" spans="1:11" s="15" customFormat="1" ht="15" customHeight="1">
      <c r="A64" s="114"/>
      <c r="B64" s="11"/>
      <c r="C64" s="36"/>
      <c r="D64" s="30"/>
      <c r="E64" s="30"/>
      <c r="F64" s="30"/>
      <c r="G64" s="30"/>
      <c r="H64" s="30"/>
      <c r="I64" s="30"/>
      <c r="J64" s="30"/>
      <c r="K64" s="78"/>
    </row>
    <row r="65" spans="1:11" s="9" customFormat="1" ht="15" customHeight="1">
      <c r="A65" s="109"/>
      <c r="B65" s="173" t="s">
        <v>15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1:11" s="40" customFormat="1" ht="21.75" customHeight="1">
      <c r="A66" s="107">
        <v>41</v>
      </c>
      <c r="B66" s="44" t="s">
        <v>16</v>
      </c>
      <c r="C66" s="19">
        <f>SUM(C67:C70)</f>
        <v>1929359.7999999998</v>
      </c>
      <c r="D66" s="19">
        <f aca="true" t="shared" si="27" ref="D66:J66">SUM(D67:D70)</f>
        <v>237647.5</v>
      </c>
      <c r="E66" s="101">
        <f t="shared" si="27"/>
        <v>312017.6</v>
      </c>
      <c r="F66" s="19">
        <f t="shared" si="27"/>
        <v>228093.1</v>
      </c>
      <c r="G66" s="19">
        <f t="shared" si="27"/>
        <v>278873.6</v>
      </c>
      <c r="H66" s="19">
        <f t="shared" si="27"/>
        <v>298876</v>
      </c>
      <c r="I66" s="19">
        <f t="shared" si="27"/>
        <v>299876</v>
      </c>
      <c r="J66" s="19">
        <f t="shared" si="27"/>
        <v>299876</v>
      </c>
      <c r="K66" s="73"/>
    </row>
    <row r="67" spans="1:11" s="9" customFormat="1" ht="15" customHeight="1">
      <c r="A67" s="108">
        <v>42</v>
      </c>
      <c r="B67" s="11" t="s">
        <v>7</v>
      </c>
      <c r="C67" s="19">
        <f>SUM(D67:J67)</f>
        <v>833857.7999999999</v>
      </c>
      <c r="D67" s="35">
        <f aca="true" t="shared" si="28" ref="D67:J67">SUM(D73+D83+D108+D113+D116)</f>
        <v>107069.5</v>
      </c>
      <c r="E67" s="99">
        <f>SUM(E73+E83+E108+E113+E116)</f>
        <v>142834.59999999998</v>
      </c>
      <c r="F67" s="35">
        <f t="shared" si="28"/>
        <v>75497.1</v>
      </c>
      <c r="G67" s="35">
        <f t="shared" si="28"/>
        <v>126176.6</v>
      </c>
      <c r="H67" s="35">
        <f t="shared" si="28"/>
        <v>126760</v>
      </c>
      <c r="I67" s="35">
        <f t="shared" si="28"/>
        <v>127760</v>
      </c>
      <c r="J67" s="35">
        <f t="shared" si="28"/>
        <v>127760</v>
      </c>
      <c r="K67" s="74"/>
    </row>
    <row r="68" spans="1:11" s="9" customFormat="1" ht="15" customHeight="1">
      <c r="A68" s="108">
        <v>43</v>
      </c>
      <c r="B68" s="11" t="s">
        <v>8</v>
      </c>
      <c r="C68" s="19">
        <f>SUM(D68:J68)</f>
        <v>0</v>
      </c>
      <c r="D68" s="35"/>
      <c r="E68" s="143"/>
      <c r="F68" s="23"/>
      <c r="G68" s="23"/>
      <c r="H68" s="23"/>
      <c r="I68" s="23"/>
      <c r="J68" s="23"/>
      <c r="K68" s="74"/>
    </row>
    <row r="69" spans="1:11" s="9" customFormat="1" ht="15" customHeight="1">
      <c r="A69" s="108">
        <v>44</v>
      </c>
      <c r="B69" s="11" t="s">
        <v>9</v>
      </c>
      <c r="C69" s="19">
        <f>SUM(C105+C109)</f>
        <v>826502</v>
      </c>
      <c r="D69" s="22">
        <f>SUM(D84+D105+D109+D117)</f>
        <v>99578</v>
      </c>
      <c r="E69" s="144">
        <f aca="true" t="shared" si="29" ref="E69:J69">SUM(E84+E105+E109+E117)</f>
        <v>131183</v>
      </c>
      <c r="F69" s="22">
        <f t="shared" si="29"/>
        <v>112596</v>
      </c>
      <c r="G69" s="22">
        <f t="shared" si="29"/>
        <v>112697</v>
      </c>
      <c r="H69" s="22">
        <f t="shared" si="29"/>
        <v>132116</v>
      </c>
      <c r="I69" s="22">
        <f t="shared" si="29"/>
        <v>132116</v>
      </c>
      <c r="J69" s="22">
        <f t="shared" si="29"/>
        <v>132116</v>
      </c>
      <c r="K69" s="80"/>
    </row>
    <row r="70" spans="1:11" s="9" customFormat="1" ht="15" customHeight="1">
      <c r="A70" s="108">
        <v>45</v>
      </c>
      <c r="B70" s="13" t="s">
        <v>10</v>
      </c>
      <c r="C70" s="19">
        <f>SUM(D70:J70)</f>
        <v>269000</v>
      </c>
      <c r="D70" s="35">
        <f>SUM(D110)</f>
        <v>31000</v>
      </c>
      <c r="E70" s="143">
        <f aca="true" t="shared" si="30" ref="E70:J70">SUM(E110)</f>
        <v>38000</v>
      </c>
      <c r="F70" s="23">
        <f t="shared" si="30"/>
        <v>40000</v>
      </c>
      <c r="G70" s="23">
        <f t="shared" si="30"/>
        <v>40000</v>
      </c>
      <c r="H70" s="23">
        <f t="shared" si="30"/>
        <v>40000</v>
      </c>
      <c r="I70" s="23">
        <f t="shared" si="30"/>
        <v>40000</v>
      </c>
      <c r="J70" s="23">
        <f t="shared" si="30"/>
        <v>40000</v>
      </c>
      <c r="K70" s="74"/>
    </row>
    <row r="71" spans="1:11" s="9" customFormat="1" ht="15" customHeight="1">
      <c r="A71" s="108"/>
      <c r="B71" s="13"/>
      <c r="C71" s="19"/>
      <c r="D71" s="34"/>
      <c r="E71" s="22"/>
      <c r="F71" s="22"/>
      <c r="G71" s="22"/>
      <c r="H71" s="22"/>
      <c r="I71" s="22"/>
      <c r="J71" s="22"/>
      <c r="K71" s="74"/>
    </row>
    <row r="72" spans="1:11" s="42" customFormat="1" ht="50.25" customHeight="1">
      <c r="A72" s="111">
        <v>46</v>
      </c>
      <c r="B72" s="47" t="s">
        <v>336</v>
      </c>
      <c r="C72" s="41">
        <f>SUM(C73)</f>
        <v>10000</v>
      </c>
      <c r="D72" s="41">
        <f aca="true" t="shared" si="31" ref="D72:J72">SUM(D75:D80)</f>
        <v>0</v>
      </c>
      <c r="E72" s="41">
        <f t="shared" si="31"/>
        <v>250</v>
      </c>
      <c r="F72" s="41">
        <f t="shared" si="31"/>
        <v>0</v>
      </c>
      <c r="G72" s="41">
        <f t="shared" si="31"/>
        <v>0</v>
      </c>
      <c r="H72" s="41">
        <f t="shared" si="31"/>
        <v>2000</v>
      </c>
      <c r="I72" s="41">
        <f t="shared" si="31"/>
        <v>4000</v>
      </c>
      <c r="J72" s="41">
        <f t="shared" si="31"/>
        <v>4000</v>
      </c>
      <c r="K72" s="78" t="s">
        <v>24</v>
      </c>
    </row>
    <row r="73" spans="1:11" s="15" customFormat="1" ht="15" customHeight="1">
      <c r="A73" s="112">
        <v>47</v>
      </c>
      <c r="B73" s="29" t="s">
        <v>7</v>
      </c>
      <c r="C73" s="41">
        <f>SUM(C75:C80)</f>
        <v>10000</v>
      </c>
      <c r="D73" s="30">
        <f>SUM(D75:D79)</f>
        <v>0</v>
      </c>
      <c r="E73" s="30">
        <f aca="true" t="shared" si="32" ref="E73:J73">SUM(E75:E80)</f>
        <v>250</v>
      </c>
      <c r="F73" s="30">
        <f t="shared" si="32"/>
        <v>0</v>
      </c>
      <c r="G73" s="30">
        <f t="shared" si="32"/>
        <v>0</v>
      </c>
      <c r="H73" s="30">
        <f t="shared" si="32"/>
        <v>2000</v>
      </c>
      <c r="I73" s="30">
        <f t="shared" si="32"/>
        <v>4000</v>
      </c>
      <c r="J73" s="30">
        <f t="shared" si="32"/>
        <v>4000</v>
      </c>
      <c r="K73" s="78"/>
    </row>
    <row r="74" spans="1:11" s="32" customFormat="1" ht="15" customHeight="1">
      <c r="A74" s="112"/>
      <c r="B74" s="33" t="s">
        <v>19</v>
      </c>
      <c r="C74" s="131"/>
      <c r="D74" s="31"/>
      <c r="E74" s="31"/>
      <c r="F74" s="31"/>
      <c r="G74" s="31"/>
      <c r="H74" s="31"/>
      <c r="I74" s="31"/>
      <c r="J74" s="31"/>
      <c r="K74" s="79"/>
    </row>
    <row r="75" spans="1:11" s="15" customFormat="1" ht="15" customHeight="1">
      <c r="A75" s="112">
        <v>48</v>
      </c>
      <c r="B75" s="33" t="s">
        <v>40</v>
      </c>
      <c r="C75" s="41">
        <f>SUM(D75:J75)</f>
        <v>2000</v>
      </c>
      <c r="D75" s="30"/>
      <c r="E75" s="30"/>
      <c r="F75" s="30"/>
      <c r="G75" s="30"/>
      <c r="H75" s="30">
        <v>2000</v>
      </c>
      <c r="I75" s="30"/>
      <c r="J75" s="30"/>
      <c r="K75" s="78"/>
    </row>
    <row r="76" spans="1:11" s="15" customFormat="1" ht="15" customHeight="1">
      <c r="A76" s="112">
        <v>49</v>
      </c>
      <c r="B76" s="33" t="s">
        <v>118</v>
      </c>
      <c r="C76" s="41">
        <f>SUM(D76:J76)</f>
        <v>2000</v>
      </c>
      <c r="D76" s="30"/>
      <c r="E76" s="30"/>
      <c r="F76" s="30"/>
      <c r="G76" s="30"/>
      <c r="H76" s="30"/>
      <c r="I76" s="30">
        <v>2000</v>
      </c>
      <c r="J76" s="30"/>
      <c r="K76" s="78"/>
    </row>
    <row r="77" spans="1:11" s="15" customFormat="1" ht="15" customHeight="1">
      <c r="A77" s="112">
        <v>50</v>
      </c>
      <c r="B77" s="33" t="s">
        <v>119</v>
      </c>
      <c r="C77" s="41">
        <f>SUM(D77:J77)</f>
        <v>2000</v>
      </c>
      <c r="D77" s="30"/>
      <c r="E77" s="30"/>
      <c r="F77" s="30"/>
      <c r="G77" s="30"/>
      <c r="H77" s="30"/>
      <c r="I77" s="30"/>
      <c r="J77" s="30">
        <v>2000</v>
      </c>
      <c r="K77" s="78"/>
    </row>
    <row r="78" spans="1:11" s="15" customFormat="1" ht="15" customHeight="1">
      <c r="A78" s="112">
        <v>51</v>
      </c>
      <c r="B78" s="33" t="s">
        <v>120</v>
      </c>
      <c r="C78" s="41">
        <f>SUM(D78:J78)</f>
        <v>2000</v>
      </c>
      <c r="D78" s="30"/>
      <c r="E78" s="30"/>
      <c r="F78" s="30"/>
      <c r="G78" s="30"/>
      <c r="H78" s="30"/>
      <c r="I78" s="30">
        <v>2000</v>
      </c>
      <c r="J78" s="30"/>
      <c r="K78" s="78"/>
    </row>
    <row r="79" spans="1:11" s="15" customFormat="1" ht="15" customHeight="1">
      <c r="A79" s="112">
        <v>52</v>
      </c>
      <c r="B79" s="33" t="s">
        <v>41</v>
      </c>
      <c r="C79" s="41">
        <f>SUM(D79:J79)</f>
        <v>2000</v>
      </c>
      <c r="D79" s="30"/>
      <c r="E79" s="30"/>
      <c r="F79" s="30"/>
      <c r="G79" s="30"/>
      <c r="H79" s="30"/>
      <c r="I79" s="30"/>
      <c r="J79" s="30">
        <v>2000</v>
      </c>
      <c r="K79" s="78"/>
    </row>
    <row r="80" spans="1:11" s="9" customFormat="1" ht="15" customHeight="1">
      <c r="A80" s="104">
        <v>53</v>
      </c>
      <c r="B80" s="89" t="s">
        <v>99</v>
      </c>
      <c r="C80" s="17"/>
      <c r="D80" s="16"/>
      <c r="E80" s="16">
        <v>250</v>
      </c>
      <c r="F80" s="16"/>
      <c r="G80" s="16"/>
      <c r="H80" s="16"/>
      <c r="I80" s="16"/>
      <c r="J80" s="16"/>
      <c r="K80" s="74"/>
    </row>
    <row r="81" spans="1:11" s="9" customFormat="1" ht="15" customHeight="1">
      <c r="A81" s="108"/>
      <c r="B81" s="89"/>
      <c r="C81" s="19"/>
      <c r="D81" s="18"/>
      <c r="E81" s="18"/>
      <c r="F81" s="18"/>
      <c r="G81" s="18"/>
      <c r="H81" s="18"/>
      <c r="I81" s="18"/>
      <c r="J81" s="18"/>
      <c r="K81" s="74"/>
    </row>
    <row r="82" spans="1:11" s="40" customFormat="1" ht="96" customHeight="1">
      <c r="A82" s="107">
        <v>54</v>
      </c>
      <c r="B82" s="44" t="s">
        <v>337</v>
      </c>
      <c r="C82" s="19">
        <f>SUM(C86:C102)</f>
        <v>16495.104</v>
      </c>
      <c r="D82" s="19">
        <f>SUM(D83:D84)</f>
        <v>144</v>
      </c>
      <c r="E82" s="146">
        <f aca="true" t="shared" si="33" ref="E82:J82">SUM(E83:E84)</f>
        <v>2091.104</v>
      </c>
      <c r="F82" s="19">
        <f t="shared" si="33"/>
        <v>3260</v>
      </c>
      <c r="G82" s="19">
        <f t="shared" si="33"/>
        <v>4000</v>
      </c>
      <c r="H82" s="19">
        <f t="shared" si="33"/>
        <v>3000</v>
      </c>
      <c r="I82" s="19">
        <f t="shared" si="33"/>
        <v>2000</v>
      </c>
      <c r="J82" s="19">
        <f t="shared" si="33"/>
        <v>2000</v>
      </c>
      <c r="K82" s="74" t="s">
        <v>25</v>
      </c>
    </row>
    <row r="83" spans="1:11" s="9" customFormat="1" ht="15" customHeight="1">
      <c r="A83" s="108">
        <v>55</v>
      </c>
      <c r="B83" s="11" t="s">
        <v>7</v>
      </c>
      <c r="C83" s="19">
        <f>SUM(D83:J83)</f>
        <v>16495.104</v>
      </c>
      <c r="D83" s="18">
        <f aca="true" t="shared" si="34" ref="D83:J83">SUM(D86+D87+D88+D89+D90+D91+D92+D93+D94+D96+D97+D98+D99+D100+D101+D102)</f>
        <v>144</v>
      </c>
      <c r="E83" s="147">
        <f t="shared" si="34"/>
        <v>2091.104</v>
      </c>
      <c r="F83" s="18">
        <f t="shared" si="34"/>
        <v>3260</v>
      </c>
      <c r="G83" s="18">
        <f t="shared" si="34"/>
        <v>4000</v>
      </c>
      <c r="H83" s="18">
        <f t="shared" si="34"/>
        <v>3000</v>
      </c>
      <c r="I83" s="18">
        <f t="shared" si="34"/>
        <v>2000</v>
      </c>
      <c r="J83" s="18">
        <f t="shared" si="34"/>
        <v>2000</v>
      </c>
      <c r="K83" s="80"/>
    </row>
    <row r="84" spans="1:11" s="9" customFormat="1" ht="15" customHeight="1">
      <c r="A84" s="108">
        <v>56</v>
      </c>
      <c r="B84" s="11" t="s">
        <v>9</v>
      </c>
      <c r="C84" s="19">
        <f>SUM(D84:J84)</f>
        <v>0</v>
      </c>
      <c r="D84" s="18"/>
      <c r="E84" s="18"/>
      <c r="F84" s="18"/>
      <c r="G84" s="18"/>
      <c r="H84" s="18"/>
      <c r="I84" s="18"/>
      <c r="J84" s="18"/>
      <c r="K84" s="80"/>
    </row>
    <row r="85" spans="1:11" s="14" customFormat="1" ht="15.75">
      <c r="A85" s="115"/>
      <c r="B85" s="11" t="s">
        <v>20</v>
      </c>
      <c r="C85" s="132"/>
      <c r="D85" s="21"/>
      <c r="E85" s="21"/>
      <c r="F85" s="21"/>
      <c r="G85" s="21"/>
      <c r="H85" s="21"/>
      <c r="I85" s="21"/>
      <c r="J85" s="21"/>
      <c r="K85" s="76"/>
    </row>
    <row r="86" spans="1:11" s="9" customFormat="1" ht="15.75">
      <c r="A86" s="108">
        <v>57</v>
      </c>
      <c r="B86" s="11" t="s">
        <v>121</v>
      </c>
      <c r="C86" s="41">
        <f>SUM(D86:J86)</f>
        <v>1000</v>
      </c>
      <c r="D86" s="30">
        <f>1500-300-1200</f>
        <v>0</v>
      </c>
      <c r="E86" s="30">
        <v>0</v>
      </c>
      <c r="F86" s="30"/>
      <c r="G86" s="30">
        <v>1000</v>
      </c>
      <c r="H86" s="30"/>
      <c r="I86" s="20"/>
      <c r="J86" s="20"/>
      <c r="K86" s="74"/>
    </row>
    <row r="87" spans="1:11" s="9" customFormat="1" ht="15.75">
      <c r="A87" s="108">
        <v>58</v>
      </c>
      <c r="B87" s="11" t="s">
        <v>42</v>
      </c>
      <c r="C87" s="41">
        <f>SUM(D87:J87)</f>
        <v>144</v>
      </c>
      <c r="D87" s="30">
        <v>144</v>
      </c>
      <c r="E87" s="30"/>
      <c r="F87" s="30"/>
      <c r="G87" s="30"/>
      <c r="H87" s="30"/>
      <c r="I87" s="20"/>
      <c r="J87" s="20"/>
      <c r="K87" s="74"/>
    </row>
    <row r="88" spans="1:11" s="9" customFormat="1" ht="15" customHeight="1">
      <c r="A88" s="108">
        <v>59</v>
      </c>
      <c r="B88" s="11" t="s">
        <v>122</v>
      </c>
      <c r="C88" s="41">
        <f aca="true" t="shared" si="35" ref="C88:C94">SUM(D88:J88)</f>
        <v>3260</v>
      </c>
      <c r="D88" s="30"/>
      <c r="E88" s="30">
        <f>2000-2000</f>
        <v>0</v>
      </c>
      <c r="F88" s="30">
        <v>3260</v>
      </c>
      <c r="G88" s="30"/>
      <c r="H88" s="30"/>
      <c r="I88" s="20"/>
      <c r="J88" s="20"/>
      <c r="K88" s="74"/>
    </row>
    <row r="89" spans="1:11" s="9" customFormat="1" ht="15" customHeight="1">
      <c r="A89" s="108">
        <v>60</v>
      </c>
      <c r="B89" s="94" t="s">
        <v>142</v>
      </c>
      <c r="C89" s="41">
        <f t="shared" si="35"/>
        <v>1000</v>
      </c>
      <c r="D89" s="30"/>
      <c r="E89" s="30"/>
      <c r="F89" s="30"/>
      <c r="G89" s="30"/>
      <c r="H89" s="30">
        <v>1000</v>
      </c>
      <c r="I89" s="20"/>
      <c r="J89" s="20"/>
      <c r="K89" s="74"/>
    </row>
    <row r="90" spans="1:11" s="9" customFormat="1" ht="15" customHeight="1">
      <c r="A90" s="108">
        <v>61</v>
      </c>
      <c r="B90" s="11" t="s">
        <v>123</v>
      </c>
      <c r="C90" s="41">
        <f t="shared" si="35"/>
        <v>1841.1039999999998</v>
      </c>
      <c r="D90" s="30"/>
      <c r="E90" s="148">
        <f>266+875.8-159.65+858.954</f>
        <v>1841.1039999999998</v>
      </c>
      <c r="F90" s="30"/>
      <c r="G90" s="30"/>
      <c r="H90" s="30"/>
      <c r="I90" s="20"/>
      <c r="J90" s="20"/>
      <c r="K90" s="74"/>
    </row>
    <row r="91" spans="1:11" s="9" customFormat="1" ht="15" customHeight="1">
      <c r="A91" s="108">
        <v>62</v>
      </c>
      <c r="B91" s="11" t="s">
        <v>124</v>
      </c>
      <c r="C91" s="41">
        <f t="shared" si="35"/>
        <v>1000</v>
      </c>
      <c r="D91" s="30"/>
      <c r="E91" s="30"/>
      <c r="F91" s="30"/>
      <c r="G91" s="30">
        <f>2000-1000</f>
        <v>1000</v>
      </c>
      <c r="H91" s="30"/>
      <c r="I91" s="20"/>
      <c r="J91" s="20"/>
      <c r="K91" s="74"/>
    </row>
    <row r="92" spans="1:11" s="9" customFormat="1" ht="15" customHeight="1">
      <c r="A92" s="108">
        <v>63</v>
      </c>
      <c r="B92" s="11" t="s">
        <v>125</v>
      </c>
      <c r="C92" s="41">
        <f t="shared" si="35"/>
        <v>2000</v>
      </c>
      <c r="D92" s="30"/>
      <c r="E92" s="30"/>
      <c r="F92" s="30"/>
      <c r="G92" s="30"/>
      <c r="H92" s="30"/>
      <c r="I92" s="20">
        <v>2000</v>
      </c>
      <c r="J92" s="20"/>
      <c r="K92" s="74"/>
    </row>
    <row r="93" spans="1:11" s="9" customFormat="1" ht="15" customHeight="1">
      <c r="A93" s="108">
        <v>64</v>
      </c>
      <c r="B93" s="11" t="s">
        <v>126</v>
      </c>
      <c r="C93" s="41">
        <f t="shared" si="35"/>
        <v>2000</v>
      </c>
      <c r="D93" s="30"/>
      <c r="E93" s="30"/>
      <c r="F93" s="30"/>
      <c r="G93" s="30"/>
      <c r="H93" s="30"/>
      <c r="I93" s="20"/>
      <c r="J93" s="20">
        <v>2000</v>
      </c>
      <c r="K93" s="74"/>
    </row>
    <row r="94" spans="1:11" s="9" customFormat="1" ht="15" customHeight="1">
      <c r="A94" s="108">
        <v>65</v>
      </c>
      <c r="B94" s="11" t="s">
        <v>127</v>
      </c>
      <c r="C94" s="41">
        <f t="shared" si="35"/>
        <v>2000</v>
      </c>
      <c r="D94" s="30"/>
      <c r="E94" s="30"/>
      <c r="F94" s="30"/>
      <c r="G94" s="30"/>
      <c r="H94" s="30">
        <v>2000</v>
      </c>
      <c r="I94" s="20"/>
      <c r="J94" s="20"/>
      <c r="K94" s="74"/>
    </row>
    <row r="95" spans="1:11" s="9" customFormat="1" ht="35.25" customHeight="1">
      <c r="A95" s="108"/>
      <c r="B95" s="11" t="s">
        <v>96</v>
      </c>
      <c r="C95" s="41"/>
      <c r="D95" s="30"/>
      <c r="E95" s="30"/>
      <c r="F95" s="30"/>
      <c r="G95" s="30"/>
      <c r="H95" s="30"/>
      <c r="I95" s="20"/>
      <c r="J95" s="20"/>
      <c r="K95" s="74"/>
    </row>
    <row r="96" spans="1:11" s="9" customFormat="1" ht="15" customHeight="1">
      <c r="A96" s="108">
        <v>66</v>
      </c>
      <c r="B96" s="13" t="s">
        <v>100</v>
      </c>
      <c r="C96" s="41">
        <f>SUM(D96:J96)</f>
        <v>250</v>
      </c>
      <c r="D96" s="30"/>
      <c r="E96" s="30">
        <f>250</f>
        <v>250</v>
      </c>
      <c r="F96" s="30"/>
      <c r="G96" s="30">
        <f>600-600</f>
        <v>0</v>
      </c>
      <c r="H96" s="30"/>
      <c r="I96" s="20"/>
      <c r="J96" s="20"/>
      <c r="K96" s="74"/>
    </row>
    <row r="97" spans="1:11" s="9" customFormat="1" ht="15" customHeight="1">
      <c r="A97" s="108">
        <v>67</v>
      </c>
      <c r="B97" s="13" t="s">
        <v>101</v>
      </c>
      <c r="C97" s="41">
        <f aca="true" t="shared" si="36" ref="C97:C102">SUM(D97:J97)</f>
        <v>300</v>
      </c>
      <c r="D97" s="30"/>
      <c r="E97" s="30">
        <f>266-266</f>
        <v>0</v>
      </c>
      <c r="F97" s="30"/>
      <c r="G97" s="30">
        <f>300</f>
        <v>300</v>
      </c>
      <c r="H97" s="30"/>
      <c r="I97" s="20"/>
      <c r="J97" s="20"/>
      <c r="K97" s="74"/>
    </row>
    <row r="98" spans="1:11" s="9" customFormat="1" ht="15" customHeight="1">
      <c r="A98" s="108">
        <v>68</v>
      </c>
      <c r="B98" s="13" t="s">
        <v>102</v>
      </c>
      <c r="C98" s="41">
        <f t="shared" si="36"/>
        <v>300</v>
      </c>
      <c r="D98" s="30"/>
      <c r="E98" s="30">
        <f>250-250</f>
        <v>0</v>
      </c>
      <c r="F98" s="30"/>
      <c r="G98" s="30">
        <f>300</f>
        <v>300</v>
      </c>
      <c r="H98" s="30"/>
      <c r="I98" s="20"/>
      <c r="J98" s="20"/>
      <c r="K98" s="74"/>
    </row>
    <row r="99" spans="1:11" s="9" customFormat="1" ht="15" customHeight="1">
      <c r="A99" s="108">
        <v>69</v>
      </c>
      <c r="B99" s="13" t="s">
        <v>128</v>
      </c>
      <c r="C99" s="41">
        <f t="shared" si="36"/>
        <v>400</v>
      </c>
      <c r="D99" s="30"/>
      <c r="E99" s="30"/>
      <c r="F99" s="30"/>
      <c r="G99" s="30">
        <f>600-200</f>
        <v>400</v>
      </c>
      <c r="H99" s="30"/>
      <c r="I99" s="20"/>
      <c r="J99" s="20"/>
      <c r="K99" s="74"/>
    </row>
    <row r="100" spans="1:11" s="9" customFormat="1" ht="15" customHeight="1">
      <c r="A100" s="108">
        <v>70</v>
      </c>
      <c r="B100" s="13" t="s">
        <v>119</v>
      </c>
      <c r="C100" s="41">
        <f t="shared" si="36"/>
        <v>500</v>
      </c>
      <c r="D100" s="30"/>
      <c r="E100" s="30"/>
      <c r="F100" s="30"/>
      <c r="G100" s="30">
        <f>800-100-200</f>
        <v>500</v>
      </c>
      <c r="H100" s="30"/>
      <c r="I100" s="20"/>
      <c r="J100" s="20"/>
      <c r="K100" s="74"/>
    </row>
    <row r="101" spans="1:11" s="9" customFormat="1" ht="15" customHeight="1">
      <c r="A101" s="108">
        <v>71</v>
      </c>
      <c r="B101" s="13" t="s">
        <v>40</v>
      </c>
      <c r="C101" s="41">
        <f t="shared" si="36"/>
        <v>500</v>
      </c>
      <c r="D101" s="30"/>
      <c r="E101" s="30"/>
      <c r="F101" s="30"/>
      <c r="G101" s="30">
        <f>300+200</f>
        <v>500</v>
      </c>
      <c r="H101" s="30"/>
      <c r="I101" s="20"/>
      <c r="J101" s="20"/>
      <c r="K101" s="74"/>
    </row>
    <row r="102" spans="1:11" s="9" customFormat="1" ht="15" customHeight="1">
      <c r="A102" s="108">
        <v>72</v>
      </c>
      <c r="B102" s="13" t="s">
        <v>118</v>
      </c>
      <c r="C102" s="41">
        <f t="shared" si="36"/>
        <v>0</v>
      </c>
      <c r="D102" s="30"/>
      <c r="E102" s="30"/>
      <c r="F102" s="30"/>
      <c r="G102" s="30"/>
      <c r="H102" s="30"/>
      <c r="I102" s="20"/>
      <c r="J102" s="30"/>
      <c r="K102" s="74"/>
    </row>
    <row r="103" spans="1:11" s="9" customFormat="1" ht="15" customHeight="1">
      <c r="A103" s="108"/>
      <c r="B103" s="13"/>
      <c r="C103" s="19"/>
      <c r="D103" s="23"/>
      <c r="E103" s="23"/>
      <c r="F103" s="23"/>
      <c r="G103" s="23"/>
      <c r="H103" s="23"/>
      <c r="I103" s="23"/>
      <c r="J103" s="23"/>
      <c r="K103" s="74"/>
    </row>
    <row r="104" spans="1:11" s="40" customFormat="1" ht="81.75" customHeight="1">
      <c r="A104" s="107">
        <v>73</v>
      </c>
      <c r="B104" s="38" t="s">
        <v>338</v>
      </c>
      <c r="C104" s="17">
        <f>SUM(C105)</f>
        <v>825186</v>
      </c>
      <c r="D104" s="17">
        <f>SUM(D105)</f>
        <v>98262</v>
      </c>
      <c r="E104" s="17">
        <f aca="true" t="shared" si="37" ref="E104:J104">SUM(E105)</f>
        <v>105283</v>
      </c>
      <c r="F104" s="17">
        <f t="shared" si="37"/>
        <v>112596</v>
      </c>
      <c r="G104" s="17">
        <f t="shared" si="37"/>
        <v>112697</v>
      </c>
      <c r="H104" s="17">
        <f t="shared" si="37"/>
        <v>132116</v>
      </c>
      <c r="I104" s="17">
        <f t="shared" si="37"/>
        <v>132116</v>
      </c>
      <c r="J104" s="17">
        <f t="shared" si="37"/>
        <v>132116</v>
      </c>
      <c r="K104" s="74" t="s">
        <v>94</v>
      </c>
    </row>
    <row r="105" spans="1:11" s="9" customFormat="1" ht="15" customHeight="1">
      <c r="A105" s="108">
        <v>74</v>
      </c>
      <c r="B105" s="11" t="s">
        <v>9</v>
      </c>
      <c r="C105" s="19">
        <f>SUM(D105:J105)</f>
        <v>825186</v>
      </c>
      <c r="D105" s="35">
        <f>87177+6741+4344</f>
        <v>98262</v>
      </c>
      <c r="E105" s="35">
        <f>109598-4315</f>
        <v>105283</v>
      </c>
      <c r="F105" s="35">
        <f>119907-7311</f>
        <v>112596</v>
      </c>
      <c r="G105" s="35">
        <f>132116-19419</f>
        <v>112697</v>
      </c>
      <c r="H105" s="35">
        <v>132116</v>
      </c>
      <c r="I105" s="35">
        <v>132116</v>
      </c>
      <c r="J105" s="35">
        <v>132116</v>
      </c>
      <c r="K105" s="74"/>
    </row>
    <row r="106" spans="1:11" s="9" customFormat="1" ht="15" customHeight="1">
      <c r="A106" s="108"/>
      <c r="B106" s="92"/>
      <c r="C106" s="19"/>
      <c r="D106" s="35"/>
      <c r="E106" s="35"/>
      <c r="F106" s="35"/>
      <c r="G106" s="35"/>
      <c r="H106" s="35"/>
      <c r="I106" s="35"/>
      <c r="J106" s="35"/>
      <c r="K106" s="74"/>
    </row>
    <row r="107" spans="1:11" s="40" customFormat="1" ht="82.5" customHeight="1">
      <c r="A107" s="116">
        <v>75</v>
      </c>
      <c r="B107" s="39" t="s">
        <v>339</v>
      </c>
      <c r="C107" s="17">
        <f>SUM(C108:C110)</f>
        <v>1047925.4739999999</v>
      </c>
      <c r="D107" s="17">
        <f aca="true" t="shared" si="38" ref="D107:J107">SUM(D108:D110)</f>
        <v>137034.5</v>
      </c>
      <c r="E107" s="17">
        <f t="shared" si="38"/>
        <v>153897.27399999998</v>
      </c>
      <c r="F107" s="17">
        <f t="shared" si="38"/>
        <v>109537.1</v>
      </c>
      <c r="G107" s="17">
        <f t="shared" si="38"/>
        <v>162176.6</v>
      </c>
      <c r="H107" s="17">
        <f t="shared" si="38"/>
        <v>161760</v>
      </c>
      <c r="I107" s="17">
        <f t="shared" si="38"/>
        <v>161760</v>
      </c>
      <c r="J107" s="17">
        <f t="shared" si="38"/>
        <v>161760</v>
      </c>
      <c r="K107" s="74" t="s">
        <v>117</v>
      </c>
    </row>
    <row r="108" spans="1:12" s="9" customFormat="1" ht="15" customHeight="1">
      <c r="A108" s="108">
        <v>76</v>
      </c>
      <c r="B108" s="11" t="s">
        <v>7</v>
      </c>
      <c r="C108" s="19">
        <f>SUM(D108:J108)</f>
        <v>777609.4739999999</v>
      </c>
      <c r="D108" s="35">
        <f>103374.2+236.1+674+94.5+92.3+247.4</f>
        <v>104718.5</v>
      </c>
      <c r="E108" s="99">
        <f>118131-150+159.65-1200-455.891-587.485</f>
        <v>115897.27399999999</v>
      </c>
      <c r="F108" s="35">
        <v>69537.1</v>
      </c>
      <c r="G108" s="35">
        <f>126111-3934.4</f>
        <v>122176.6</v>
      </c>
      <c r="H108" s="35">
        <v>121760</v>
      </c>
      <c r="I108" s="35">
        <v>121760</v>
      </c>
      <c r="J108" s="35">
        <v>121760</v>
      </c>
      <c r="K108" s="74"/>
      <c r="L108" s="67"/>
    </row>
    <row r="109" spans="1:12" s="9" customFormat="1" ht="15" customHeight="1">
      <c r="A109" s="108">
        <v>77</v>
      </c>
      <c r="B109" s="13" t="s">
        <v>9</v>
      </c>
      <c r="C109" s="19">
        <f>SUM(D109:J109)</f>
        <v>1316</v>
      </c>
      <c r="D109" s="35">
        <v>1316</v>
      </c>
      <c r="E109" s="35"/>
      <c r="F109" s="35"/>
      <c r="G109" s="35"/>
      <c r="H109" s="35"/>
      <c r="I109" s="35"/>
      <c r="J109" s="35"/>
      <c r="K109" s="74"/>
      <c r="L109" s="67"/>
    </row>
    <row r="110" spans="1:11" s="9" customFormat="1" ht="15" customHeight="1">
      <c r="A110" s="108">
        <v>78</v>
      </c>
      <c r="B110" s="11" t="s">
        <v>10</v>
      </c>
      <c r="C110" s="19">
        <f>SUM(D110:J110)</f>
        <v>269000</v>
      </c>
      <c r="D110" s="35">
        <v>31000</v>
      </c>
      <c r="E110" s="35">
        <v>38000</v>
      </c>
      <c r="F110" s="35">
        <v>40000</v>
      </c>
      <c r="G110" s="35">
        <v>40000</v>
      </c>
      <c r="H110" s="35">
        <v>40000</v>
      </c>
      <c r="I110" s="35">
        <v>40000</v>
      </c>
      <c r="J110" s="35">
        <v>40000</v>
      </c>
      <c r="K110" s="74"/>
    </row>
    <row r="111" spans="1:11" s="9" customFormat="1" ht="15" customHeight="1">
      <c r="A111" s="108"/>
      <c r="B111" s="92"/>
      <c r="C111" s="19"/>
      <c r="D111" s="35"/>
      <c r="E111" s="35"/>
      <c r="F111" s="35"/>
      <c r="G111" s="35"/>
      <c r="H111" s="35"/>
      <c r="I111" s="35"/>
      <c r="J111" s="35"/>
      <c r="K111" s="74"/>
    </row>
    <row r="112" spans="1:11" s="42" customFormat="1" ht="63">
      <c r="A112" s="117">
        <v>79</v>
      </c>
      <c r="B112" s="86" t="s">
        <v>340</v>
      </c>
      <c r="C112" s="36">
        <f aca="true" t="shared" si="39" ref="C112:J112">SUM(C113:C113)</f>
        <v>3103.2219999999998</v>
      </c>
      <c r="D112" s="36">
        <f t="shared" si="39"/>
        <v>2207</v>
      </c>
      <c r="E112" s="36">
        <f t="shared" si="39"/>
        <v>896.222</v>
      </c>
      <c r="F112" s="36">
        <f t="shared" si="39"/>
        <v>0</v>
      </c>
      <c r="G112" s="36">
        <f t="shared" si="39"/>
        <v>0</v>
      </c>
      <c r="H112" s="36">
        <f t="shared" si="39"/>
        <v>0</v>
      </c>
      <c r="I112" s="36">
        <f t="shared" si="39"/>
        <v>0</v>
      </c>
      <c r="J112" s="36">
        <f t="shared" si="39"/>
        <v>0</v>
      </c>
      <c r="K112" s="78" t="s">
        <v>50</v>
      </c>
    </row>
    <row r="113" spans="1:12" s="15" customFormat="1" ht="15.75">
      <c r="A113" s="112">
        <v>80</v>
      </c>
      <c r="B113" s="33" t="s">
        <v>7</v>
      </c>
      <c r="C113" s="41">
        <f>SUM(D113:J113)</f>
        <v>3103.2219999999998</v>
      </c>
      <c r="D113" s="53">
        <f>1000+1207</f>
        <v>2207</v>
      </c>
      <c r="E113" s="137">
        <f>505+391.3-0.078</f>
        <v>896.222</v>
      </c>
      <c r="F113" s="53"/>
      <c r="G113" s="53"/>
      <c r="H113" s="53"/>
      <c r="I113" s="53"/>
      <c r="J113" s="53"/>
      <c r="K113" s="78"/>
      <c r="L113" s="88"/>
    </row>
    <row r="114" spans="1:12" s="15" customFormat="1" ht="15.75">
      <c r="A114" s="114"/>
      <c r="B114" s="33"/>
      <c r="C114" s="36"/>
      <c r="D114" s="53"/>
      <c r="E114" s="53"/>
      <c r="F114" s="53"/>
      <c r="G114" s="53"/>
      <c r="H114" s="53"/>
      <c r="I114" s="53"/>
      <c r="J114" s="53"/>
      <c r="K114" s="78"/>
      <c r="L114" s="88"/>
    </row>
    <row r="115" spans="1:11" s="42" customFormat="1" ht="47.25">
      <c r="A115" s="117">
        <v>81</v>
      </c>
      <c r="B115" s="86" t="s">
        <v>341</v>
      </c>
      <c r="C115" s="36">
        <f>SUM(D115:J115)</f>
        <v>52300</v>
      </c>
      <c r="D115" s="36">
        <f>SUM(D116:D117)</f>
        <v>0</v>
      </c>
      <c r="E115" s="36">
        <f aca="true" t="shared" si="40" ref="E115:J115">SUM(E116:E117)</f>
        <v>49600</v>
      </c>
      <c r="F115" s="36">
        <f t="shared" si="40"/>
        <v>2700</v>
      </c>
      <c r="G115" s="36">
        <f t="shared" si="40"/>
        <v>0</v>
      </c>
      <c r="H115" s="36">
        <f t="shared" si="40"/>
        <v>0</v>
      </c>
      <c r="I115" s="36">
        <f t="shared" si="40"/>
        <v>0</v>
      </c>
      <c r="J115" s="36">
        <f t="shared" si="40"/>
        <v>0</v>
      </c>
      <c r="K115" s="78" t="s">
        <v>50</v>
      </c>
    </row>
    <row r="116" spans="1:11" s="42" customFormat="1" ht="15.75">
      <c r="A116" s="113">
        <v>82</v>
      </c>
      <c r="B116" s="33" t="s">
        <v>7</v>
      </c>
      <c r="C116" s="41">
        <f>SUM(D116:J116)</f>
        <v>26400</v>
      </c>
      <c r="D116" s="95">
        <f>SUM(D120+D124)</f>
        <v>0</v>
      </c>
      <c r="E116" s="95">
        <f aca="true" t="shared" si="41" ref="E116:J116">SUM(E120+E124+E127+E130)</f>
        <v>23700</v>
      </c>
      <c r="F116" s="95">
        <f t="shared" si="41"/>
        <v>2700</v>
      </c>
      <c r="G116" s="95">
        <f t="shared" si="41"/>
        <v>0</v>
      </c>
      <c r="H116" s="95">
        <f t="shared" si="41"/>
        <v>0</v>
      </c>
      <c r="I116" s="95">
        <f t="shared" si="41"/>
        <v>0</v>
      </c>
      <c r="J116" s="95">
        <f t="shared" si="41"/>
        <v>0</v>
      </c>
      <c r="K116" s="78"/>
    </row>
    <row r="117" spans="1:11" s="42" customFormat="1" ht="15.75">
      <c r="A117" s="113">
        <v>83</v>
      </c>
      <c r="B117" s="29" t="s">
        <v>9</v>
      </c>
      <c r="C117" s="41">
        <f>SUM(D117:J117)</f>
        <v>25900</v>
      </c>
      <c r="D117" s="95">
        <f>SUM(D121)</f>
        <v>0</v>
      </c>
      <c r="E117" s="95">
        <f aca="true" t="shared" si="42" ref="E117:J117">SUM(E121+E131)</f>
        <v>25900</v>
      </c>
      <c r="F117" s="95">
        <f t="shared" si="42"/>
        <v>0</v>
      </c>
      <c r="G117" s="95">
        <f t="shared" si="42"/>
        <v>0</v>
      </c>
      <c r="H117" s="95">
        <f t="shared" si="42"/>
        <v>0</v>
      </c>
      <c r="I117" s="95">
        <f t="shared" si="42"/>
        <v>0</v>
      </c>
      <c r="J117" s="95">
        <f t="shared" si="42"/>
        <v>0</v>
      </c>
      <c r="K117" s="78"/>
    </row>
    <row r="118" spans="1:11" s="42" customFormat="1" ht="15.75">
      <c r="A118" s="113"/>
      <c r="B118" s="33" t="s">
        <v>140</v>
      </c>
      <c r="C118" s="41"/>
      <c r="D118" s="36"/>
      <c r="E118" s="36"/>
      <c r="F118" s="36"/>
      <c r="G118" s="36"/>
      <c r="H118" s="36"/>
      <c r="I118" s="36"/>
      <c r="J118" s="36"/>
      <c r="K118" s="78"/>
    </row>
    <row r="119" spans="1:11" s="42" customFormat="1" ht="31.5">
      <c r="A119" s="113">
        <v>84</v>
      </c>
      <c r="B119" s="33" t="s">
        <v>141</v>
      </c>
      <c r="C119" s="41">
        <f aca="true" t="shared" si="43" ref="C119:C131">SUM(D119:J119)</f>
        <v>40520</v>
      </c>
      <c r="D119" s="36">
        <f aca="true" t="shared" si="44" ref="D119:J119">SUM(D120:D121)</f>
        <v>0</v>
      </c>
      <c r="E119" s="36">
        <f t="shared" si="44"/>
        <v>37820</v>
      </c>
      <c r="F119" s="36">
        <f t="shared" si="44"/>
        <v>2700</v>
      </c>
      <c r="G119" s="36">
        <f t="shared" si="44"/>
        <v>0</v>
      </c>
      <c r="H119" s="36">
        <f t="shared" si="44"/>
        <v>0</v>
      </c>
      <c r="I119" s="36">
        <f t="shared" si="44"/>
        <v>0</v>
      </c>
      <c r="J119" s="36">
        <f t="shared" si="44"/>
        <v>0</v>
      </c>
      <c r="K119" s="78"/>
    </row>
    <row r="120" spans="1:11" s="42" customFormat="1" ht="15.75">
      <c r="A120" s="113" t="s">
        <v>169</v>
      </c>
      <c r="B120" s="33" t="s">
        <v>7</v>
      </c>
      <c r="C120" s="41">
        <f t="shared" si="43"/>
        <v>17420</v>
      </c>
      <c r="D120" s="95"/>
      <c r="E120" s="95">
        <f>9900+4820</f>
        <v>14720</v>
      </c>
      <c r="F120" s="95">
        <v>2700</v>
      </c>
      <c r="G120" s="95"/>
      <c r="H120" s="95"/>
      <c r="I120" s="95"/>
      <c r="J120" s="95"/>
      <c r="K120" s="78"/>
    </row>
    <row r="121" spans="1:11" s="42" customFormat="1" ht="15.75">
      <c r="A121" s="113" t="s">
        <v>161</v>
      </c>
      <c r="B121" s="29" t="s">
        <v>9</v>
      </c>
      <c r="C121" s="41">
        <f t="shared" si="43"/>
        <v>23100</v>
      </c>
      <c r="D121" s="95"/>
      <c r="E121" s="95">
        <v>23100</v>
      </c>
      <c r="F121" s="95"/>
      <c r="G121" s="95"/>
      <c r="H121" s="95"/>
      <c r="I121" s="95"/>
      <c r="J121" s="95"/>
      <c r="K121" s="78"/>
    </row>
    <row r="122" spans="1:11" s="42" customFormat="1" ht="15.75">
      <c r="A122" s="113"/>
      <c r="B122" s="29"/>
      <c r="C122" s="41"/>
      <c r="D122" s="95"/>
      <c r="E122" s="95"/>
      <c r="F122" s="95"/>
      <c r="G122" s="95"/>
      <c r="H122" s="95"/>
      <c r="I122" s="95"/>
      <c r="J122" s="95"/>
      <c r="K122" s="78"/>
    </row>
    <row r="123" spans="1:11" s="42" customFormat="1" ht="47.25">
      <c r="A123" s="113" t="s">
        <v>162</v>
      </c>
      <c r="B123" s="96" t="s">
        <v>139</v>
      </c>
      <c r="C123" s="41">
        <f t="shared" si="43"/>
        <v>780</v>
      </c>
      <c r="D123" s="95">
        <f>SUM(D124)</f>
        <v>0</v>
      </c>
      <c r="E123" s="95">
        <f aca="true" t="shared" si="45" ref="E123:J126">SUM(E124)</f>
        <v>780</v>
      </c>
      <c r="F123" s="95">
        <f t="shared" si="45"/>
        <v>0</v>
      </c>
      <c r="G123" s="95">
        <f t="shared" si="45"/>
        <v>0</v>
      </c>
      <c r="H123" s="95">
        <f t="shared" si="45"/>
        <v>0</v>
      </c>
      <c r="I123" s="95">
        <f t="shared" si="45"/>
        <v>0</v>
      </c>
      <c r="J123" s="95">
        <f t="shared" si="45"/>
        <v>0</v>
      </c>
      <c r="K123" s="78"/>
    </row>
    <row r="124" spans="1:12" s="15" customFormat="1" ht="15.75">
      <c r="A124" s="113" t="s">
        <v>163</v>
      </c>
      <c r="B124" s="33" t="s">
        <v>7</v>
      </c>
      <c r="C124" s="41">
        <f t="shared" si="43"/>
        <v>780</v>
      </c>
      <c r="D124" s="53"/>
      <c r="E124" s="53">
        <f>600+180</f>
        <v>780</v>
      </c>
      <c r="F124" s="53"/>
      <c r="G124" s="53"/>
      <c r="H124" s="53"/>
      <c r="I124" s="53"/>
      <c r="J124" s="53"/>
      <c r="K124" s="78"/>
      <c r="L124" s="88"/>
    </row>
    <row r="125" spans="1:12" s="15" customFormat="1" ht="15.75">
      <c r="A125" s="113"/>
      <c r="B125" s="33"/>
      <c r="C125" s="41"/>
      <c r="D125" s="53"/>
      <c r="E125" s="53"/>
      <c r="F125" s="53"/>
      <c r="G125" s="53"/>
      <c r="H125" s="53"/>
      <c r="I125" s="53"/>
      <c r="J125" s="53"/>
      <c r="K125" s="78"/>
      <c r="L125" s="88"/>
    </row>
    <row r="126" spans="1:11" s="42" customFormat="1" ht="31.5">
      <c r="A126" s="113" t="s">
        <v>164</v>
      </c>
      <c r="B126" s="96" t="s">
        <v>153</v>
      </c>
      <c r="C126" s="41">
        <f>SUM(D126:J126)</f>
        <v>7000</v>
      </c>
      <c r="D126" s="95">
        <f>SUM(D127)</f>
        <v>0</v>
      </c>
      <c r="E126" s="95">
        <f t="shared" si="45"/>
        <v>7000</v>
      </c>
      <c r="F126" s="95">
        <f t="shared" si="45"/>
        <v>0</v>
      </c>
      <c r="G126" s="95">
        <f t="shared" si="45"/>
        <v>0</v>
      </c>
      <c r="H126" s="95">
        <f t="shared" si="45"/>
        <v>0</v>
      </c>
      <c r="I126" s="95">
        <f t="shared" si="45"/>
        <v>0</v>
      </c>
      <c r="J126" s="95">
        <f t="shared" si="45"/>
        <v>0</v>
      </c>
      <c r="K126" s="78"/>
    </row>
    <row r="127" spans="1:12" s="15" customFormat="1" ht="15.75">
      <c r="A127" s="113" t="s">
        <v>165</v>
      </c>
      <c r="B127" s="33" t="s">
        <v>7</v>
      </c>
      <c r="C127" s="41">
        <f>SUM(D127:J127)</f>
        <v>7000</v>
      </c>
      <c r="D127" s="53"/>
      <c r="E127" s="53">
        <v>7000</v>
      </c>
      <c r="F127" s="53"/>
      <c r="G127" s="53"/>
      <c r="H127" s="53"/>
      <c r="I127" s="53"/>
      <c r="J127" s="53"/>
      <c r="K127" s="78"/>
      <c r="L127" s="88"/>
    </row>
    <row r="128" spans="1:12" s="15" customFormat="1" ht="15.75">
      <c r="A128" s="113"/>
      <c r="B128" s="33"/>
      <c r="C128" s="41"/>
      <c r="D128" s="53"/>
      <c r="E128" s="53"/>
      <c r="F128" s="53"/>
      <c r="G128" s="53"/>
      <c r="H128" s="53"/>
      <c r="I128" s="53"/>
      <c r="J128" s="53"/>
      <c r="K128" s="78"/>
      <c r="L128" s="88"/>
    </row>
    <row r="129" spans="1:12" s="15" customFormat="1" ht="31.5">
      <c r="A129" s="113" t="s">
        <v>166</v>
      </c>
      <c r="B129" s="33" t="s">
        <v>150</v>
      </c>
      <c r="C129" s="41">
        <f t="shared" si="43"/>
        <v>4000</v>
      </c>
      <c r="D129" s="36">
        <f aca="true" t="shared" si="46" ref="D129:I129">SUM(D130:D131)</f>
        <v>0</v>
      </c>
      <c r="E129" s="36">
        <f t="shared" si="46"/>
        <v>4000</v>
      </c>
      <c r="F129" s="36">
        <f t="shared" si="46"/>
        <v>0</v>
      </c>
      <c r="G129" s="36">
        <f t="shared" si="46"/>
        <v>0</v>
      </c>
      <c r="H129" s="36">
        <f t="shared" si="46"/>
        <v>0</v>
      </c>
      <c r="I129" s="36">
        <f t="shared" si="46"/>
        <v>0</v>
      </c>
      <c r="J129" s="36"/>
      <c r="K129" s="78"/>
      <c r="L129" s="88"/>
    </row>
    <row r="130" spans="1:12" s="15" customFormat="1" ht="15.75">
      <c r="A130" s="113" t="s">
        <v>167</v>
      </c>
      <c r="B130" s="33" t="s">
        <v>7</v>
      </c>
      <c r="C130" s="41">
        <f t="shared" si="43"/>
        <v>1200</v>
      </c>
      <c r="D130" s="53"/>
      <c r="E130" s="53">
        <f>1200</f>
        <v>1200</v>
      </c>
      <c r="F130" s="53"/>
      <c r="G130" s="53"/>
      <c r="H130" s="53"/>
      <c r="I130" s="53"/>
      <c r="J130" s="53"/>
      <c r="K130" s="78"/>
      <c r="L130" s="88"/>
    </row>
    <row r="131" spans="1:12" s="15" customFormat="1" ht="15.75">
      <c r="A131" s="113" t="s">
        <v>168</v>
      </c>
      <c r="B131" s="29" t="s">
        <v>9</v>
      </c>
      <c r="C131" s="41">
        <f t="shared" si="43"/>
        <v>2800</v>
      </c>
      <c r="D131" s="53"/>
      <c r="E131" s="53">
        <f>2800</f>
        <v>2800</v>
      </c>
      <c r="F131" s="53"/>
      <c r="G131" s="53"/>
      <c r="H131" s="53"/>
      <c r="I131" s="53"/>
      <c r="J131" s="53"/>
      <c r="K131" s="78"/>
      <c r="L131" s="88"/>
    </row>
    <row r="132" spans="1:12" s="15" customFormat="1" ht="15.75">
      <c r="A132" s="114"/>
      <c r="B132" s="33"/>
      <c r="C132" s="36"/>
      <c r="D132" s="53"/>
      <c r="E132" s="53"/>
      <c r="F132" s="53"/>
      <c r="G132" s="53"/>
      <c r="H132" s="53"/>
      <c r="I132" s="53"/>
      <c r="J132" s="53"/>
      <c r="K132" s="78"/>
      <c r="L132" s="88"/>
    </row>
    <row r="133" spans="1:11" s="8" customFormat="1" ht="15" customHeight="1">
      <c r="A133" s="106"/>
      <c r="B133" s="176" t="s">
        <v>88</v>
      </c>
      <c r="C133" s="177"/>
      <c r="D133" s="177"/>
      <c r="E133" s="177"/>
      <c r="F133" s="177"/>
      <c r="G133" s="177"/>
      <c r="H133" s="177"/>
      <c r="I133" s="177"/>
      <c r="J133" s="177"/>
      <c r="K133" s="178"/>
    </row>
    <row r="134" spans="1:11" s="40" customFormat="1" ht="23.25" customHeight="1">
      <c r="A134" s="107" t="s">
        <v>170</v>
      </c>
      <c r="B134" s="44" t="s">
        <v>55</v>
      </c>
      <c r="C134" s="19">
        <f>SUM(C135:C138)</f>
        <v>2379080.888</v>
      </c>
      <c r="D134" s="19">
        <f aca="true" t="shared" si="47" ref="D134:J134">SUM(D135:D138)</f>
        <v>339463.7</v>
      </c>
      <c r="E134" s="101">
        <f t="shared" si="47"/>
        <v>310044.78800000006</v>
      </c>
      <c r="F134" s="19">
        <f t="shared" si="47"/>
        <v>277473</v>
      </c>
      <c r="G134" s="19">
        <f t="shared" si="47"/>
        <v>329605.4</v>
      </c>
      <c r="H134" s="19">
        <f t="shared" si="47"/>
        <v>376048</v>
      </c>
      <c r="I134" s="19">
        <f t="shared" si="47"/>
        <v>375948</v>
      </c>
      <c r="J134" s="19">
        <f t="shared" si="47"/>
        <v>370498</v>
      </c>
      <c r="K134" s="73"/>
    </row>
    <row r="135" spans="1:11" s="9" customFormat="1" ht="15" customHeight="1">
      <c r="A135" s="123" t="s">
        <v>171</v>
      </c>
      <c r="B135" s="11" t="s">
        <v>7</v>
      </c>
      <c r="C135" s="19">
        <f>SUM(D135:J135)</f>
        <v>973229.537</v>
      </c>
      <c r="D135" s="23">
        <f aca="true" t="shared" si="48" ref="D135:J135">SUM(D141+D173)</f>
        <v>163755.8</v>
      </c>
      <c r="E135" s="143">
        <f t="shared" si="48"/>
        <v>129820.337</v>
      </c>
      <c r="F135" s="154">
        <f t="shared" si="48"/>
        <v>87891</v>
      </c>
      <c r="G135" s="35">
        <f t="shared" si="48"/>
        <v>139627.4</v>
      </c>
      <c r="H135" s="23">
        <f t="shared" si="48"/>
        <v>152595</v>
      </c>
      <c r="I135" s="23">
        <f t="shared" si="48"/>
        <v>152495</v>
      </c>
      <c r="J135" s="23">
        <f t="shared" si="48"/>
        <v>147045</v>
      </c>
      <c r="K135" s="74"/>
    </row>
    <row r="136" spans="1:11" s="9" customFormat="1" ht="15" customHeight="1">
      <c r="A136" s="123" t="s">
        <v>172</v>
      </c>
      <c r="B136" s="11" t="s">
        <v>8</v>
      </c>
      <c r="C136" s="19">
        <f>SUM(D136:J136)</f>
        <v>3597.1310000000003</v>
      </c>
      <c r="D136" s="23">
        <f>SUM(D174)</f>
        <v>1155.7</v>
      </c>
      <c r="E136" s="143">
        <f aca="true" t="shared" si="49" ref="E136:J136">SUM(E174)</f>
        <v>2441.431</v>
      </c>
      <c r="F136" s="23">
        <f t="shared" si="49"/>
        <v>0</v>
      </c>
      <c r="G136" s="23">
        <f t="shared" si="49"/>
        <v>0</v>
      </c>
      <c r="H136" s="23">
        <f t="shared" si="49"/>
        <v>0</v>
      </c>
      <c r="I136" s="23">
        <f t="shared" si="49"/>
        <v>0</v>
      </c>
      <c r="J136" s="23">
        <f t="shared" si="49"/>
        <v>0</v>
      </c>
      <c r="K136" s="74"/>
    </row>
    <row r="137" spans="1:11" s="9" customFormat="1" ht="15" customHeight="1">
      <c r="A137" s="123" t="s">
        <v>173</v>
      </c>
      <c r="B137" s="11" t="s">
        <v>9</v>
      </c>
      <c r="C137" s="19">
        <f>SUM(D137:J137)</f>
        <v>1389556.82</v>
      </c>
      <c r="D137" s="23">
        <f>SUM(D191+D229+D242)</f>
        <v>170354.8</v>
      </c>
      <c r="E137" s="143">
        <f>SUM(E223+E191+E229+E242+E251)</f>
        <v>177783.02000000002</v>
      </c>
      <c r="F137" s="23">
        <f>SUM(F191+F229+F242+F251)</f>
        <v>187882</v>
      </c>
      <c r="G137" s="23">
        <f>SUM(G191+G229+G242+G251)</f>
        <v>188278</v>
      </c>
      <c r="H137" s="23">
        <f>SUM(H191+H229+H242+H251)</f>
        <v>221753</v>
      </c>
      <c r="I137" s="23">
        <f>SUM(I191+I229+I242+I251)</f>
        <v>221753</v>
      </c>
      <c r="J137" s="23">
        <f>SUM(J191+J229+J242+J251)</f>
        <v>221753</v>
      </c>
      <c r="K137" s="74"/>
    </row>
    <row r="138" spans="1:11" s="9" customFormat="1" ht="15" customHeight="1">
      <c r="A138" s="123" t="s">
        <v>174</v>
      </c>
      <c r="B138" s="11" t="s">
        <v>10</v>
      </c>
      <c r="C138" s="19">
        <f>SUM(D138:J138)</f>
        <v>12697.4</v>
      </c>
      <c r="D138" s="23">
        <f>SUM(D176)</f>
        <v>4197.4</v>
      </c>
      <c r="E138" s="143">
        <f aca="true" t="shared" si="50" ref="E138:J138">SUM(E176)</f>
        <v>0</v>
      </c>
      <c r="F138" s="23">
        <f t="shared" si="50"/>
        <v>1700</v>
      </c>
      <c r="G138" s="23">
        <f t="shared" si="50"/>
        <v>1700</v>
      </c>
      <c r="H138" s="23">
        <f t="shared" si="50"/>
        <v>1700</v>
      </c>
      <c r="I138" s="23">
        <f t="shared" si="50"/>
        <v>1700</v>
      </c>
      <c r="J138" s="23">
        <f t="shared" si="50"/>
        <v>1700</v>
      </c>
      <c r="K138" s="74"/>
    </row>
    <row r="139" spans="1:11" s="9" customFormat="1" ht="15" customHeight="1">
      <c r="A139" s="109"/>
      <c r="B139" s="173" t="s">
        <v>11</v>
      </c>
      <c r="C139" s="174"/>
      <c r="D139" s="174"/>
      <c r="E139" s="174"/>
      <c r="F139" s="174"/>
      <c r="G139" s="174"/>
      <c r="H139" s="174"/>
      <c r="I139" s="174"/>
      <c r="J139" s="174"/>
      <c r="K139" s="175"/>
    </row>
    <row r="140" spans="1:11" s="40" customFormat="1" ht="33.75" customHeight="1">
      <c r="A140" s="107" t="s">
        <v>175</v>
      </c>
      <c r="B140" s="44" t="s">
        <v>13</v>
      </c>
      <c r="C140" s="19">
        <f>SUM(C141:C143)</f>
        <v>5000</v>
      </c>
      <c r="D140" s="19">
        <f>SUM(D141:D143)</f>
        <v>0</v>
      </c>
      <c r="E140" s="19">
        <f aca="true" t="shared" si="51" ref="E140:J140">SUM(E141:E143)</f>
        <v>0</v>
      </c>
      <c r="F140" s="19">
        <f t="shared" si="51"/>
        <v>5000</v>
      </c>
      <c r="G140" s="19">
        <f t="shared" si="51"/>
        <v>0</v>
      </c>
      <c r="H140" s="19">
        <f t="shared" si="51"/>
        <v>0</v>
      </c>
      <c r="I140" s="19">
        <f t="shared" si="51"/>
        <v>0</v>
      </c>
      <c r="J140" s="19">
        <f t="shared" si="51"/>
        <v>0</v>
      </c>
      <c r="K140" s="75"/>
    </row>
    <row r="141" spans="1:11" s="9" customFormat="1" ht="15" customHeight="1">
      <c r="A141" s="123" t="s">
        <v>176</v>
      </c>
      <c r="B141" s="11" t="s">
        <v>7</v>
      </c>
      <c r="C141" s="19">
        <f>SUM(D141:J141)</f>
        <v>5000</v>
      </c>
      <c r="D141" s="23">
        <f>SUM(D147+D158)</f>
        <v>0</v>
      </c>
      <c r="E141" s="23">
        <f aca="true" t="shared" si="52" ref="E141:J141">SUM(E147+E158)</f>
        <v>0</v>
      </c>
      <c r="F141" s="23">
        <f t="shared" si="52"/>
        <v>5000</v>
      </c>
      <c r="G141" s="23">
        <f t="shared" si="52"/>
        <v>0</v>
      </c>
      <c r="H141" s="23">
        <f t="shared" si="52"/>
        <v>0</v>
      </c>
      <c r="I141" s="23">
        <f t="shared" si="52"/>
        <v>0</v>
      </c>
      <c r="J141" s="23">
        <f t="shared" si="52"/>
        <v>0</v>
      </c>
      <c r="K141" s="74"/>
    </row>
    <row r="142" spans="1:11" s="9" customFormat="1" ht="15" customHeight="1">
      <c r="A142" s="123" t="s">
        <v>177</v>
      </c>
      <c r="B142" s="11" t="s">
        <v>8</v>
      </c>
      <c r="C142" s="19">
        <f>SUM(D142:J142)</f>
        <v>0</v>
      </c>
      <c r="D142" s="23"/>
      <c r="E142" s="23"/>
      <c r="F142" s="23"/>
      <c r="G142" s="23"/>
      <c r="H142" s="23"/>
      <c r="I142" s="23"/>
      <c r="J142" s="23"/>
      <c r="K142" s="74"/>
    </row>
    <row r="143" spans="1:11" s="9" customFormat="1" ht="15" customHeight="1">
      <c r="A143" s="123" t="s">
        <v>178</v>
      </c>
      <c r="B143" s="11" t="s">
        <v>9</v>
      </c>
      <c r="C143" s="19">
        <f>SUM(D143:J143)</f>
        <v>0</v>
      </c>
      <c r="D143" s="23">
        <f aca="true" t="shared" si="53" ref="D143:J143">SUM(D149+D159)</f>
        <v>0</v>
      </c>
      <c r="E143" s="23">
        <f t="shared" si="53"/>
        <v>0</v>
      </c>
      <c r="F143" s="23">
        <f t="shared" si="53"/>
        <v>0</v>
      </c>
      <c r="G143" s="23">
        <f t="shared" si="53"/>
        <v>0</v>
      </c>
      <c r="H143" s="23">
        <f t="shared" si="53"/>
        <v>0</v>
      </c>
      <c r="I143" s="23">
        <f t="shared" si="53"/>
        <v>0</v>
      </c>
      <c r="J143" s="23">
        <f t="shared" si="53"/>
        <v>0</v>
      </c>
      <c r="K143" s="74"/>
    </row>
    <row r="144" spans="1:11" s="9" customFormat="1" ht="15" customHeight="1">
      <c r="A144" s="108"/>
      <c r="B144" s="11"/>
      <c r="C144" s="19"/>
      <c r="D144" s="22"/>
      <c r="E144" s="22"/>
      <c r="F144" s="22"/>
      <c r="G144" s="22"/>
      <c r="H144" s="22"/>
      <c r="I144" s="22"/>
      <c r="J144" s="22"/>
      <c r="K144" s="74"/>
    </row>
    <row r="145" spans="1:11" s="9" customFormat="1" ht="15" customHeight="1">
      <c r="A145" s="110"/>
      <c r="B145" s="170" t="s">
        <v>12</v>
      </c>
      <c r="C145" s="171"/>
      <c r="D145" s="171"/>
      <c r="E145" s="171"/>
      <c r="F145" s="171"/>
      <c r="G145" s="171"/>
      <c r="H145" s="171"/>
      <c r="I145" s="171"/>
      <c r="J145" s="171"/>
      <c r="K145" s="172"/>
    </row>
    <row r="146" spans="1:11" s="40" customFormat="1" ht="45.75" customHeight="1">
      <c r="A146" s="107" t="s">
        <v>179</v>
      </c>
      <c r="B146" s="44" t="s">
        <v>331</v>
      </c>
      <c r="C146" s="19">
        <f>SUM(C147:C150)</f>
        <v>0</v>
      </c>
      <c r="D146" s="19">
        <f>SUM(D147:D149)</f>
        <v>0</v>
      </c>
      <c r="E146" s="19">
        <f aca="true" t="shared" si="54" ref="E146:J146">SUM(E147:E149)</f>
        <v>0</v>
      </c>
      <c r="F146" s="19">
        <f t="shared" si="54"/>
        <v>0</v>
      </c>
      <c r="G146" s="19">
        <f t="shared" si="54"/>
        <v>0</v>
      </c>
      <c r="H146" s="19">
        <f t="shared" si="54"/>
        <v>0</v>
      </c>
      <c r="I146" s="19">
        <f t="shared" si="54"/>
        <v>0</v>
      </c>
      <c r="J146" s="19">
        <f t="shared" si="54"/>
        <v>0</v>
      </c>
      <c r="K146" s="74"/>
    </row>
    <row r="147" spans="1:11" s="9" customFormat="1" ht="15" customHeight="1">
      <c r="A147" s="123" t="s">
        <v>180</v>
      </c>
      <c r="B147" s="11" t="s">
        <v>7</v>
      </c>
      <c r="C147" s="19">
        <f>SUM(D147:J147)</f>
        <v>0</v>
      </c>
      <c r="D147" s="18">
        <f>SUM(D152)</f>
        <v>0</v>
      </c>
      <c r="E147" s="18">
        <f aca="true" t="shared" si="55" ref="E147:J147">SUM(E152)</f>
        <v>0</v>
      </c>
      <c r="F147" s="18">
        <f t="shared" si="55"/>
        <v>0</v>
      </c>
      <c r="G147" s="18">
        <f t="shared" si="55"/>
        <v>0</v>
      </c>
      <c r="H147" s="18">
        <f t="shared" si="55"/>
        <v>0</v>
      </c>
      <c r="I147" s="18">
        <f t="shared" si="55"/>
        <v>0</v>
      </c>
      <c r="J147" s="18">
        <f t="shared" si="55"/>
        <v>0</v>
      </c>
      <c r="K147" s="74"/>
    </row>
    <row r="148" spans="1:11" s="9" customFormat="1" ht="15" customHeight="1">
      <c r="A148" s="123" t="s">
        <v>181</v>
      </c>
      <c r="B148" s="11" t="s">
        <v>8</v>
      </c>
      <c r="C148" s="19">
        <f>SUM(D148:J148)</f>
        <v>0</v>
      </c>
      <c r="D148" s="18">
        <f>SUM(D153)</f>
        <v>0</v>
      </c>
      <c r="E148" s="18">
        <f aca="true" t="shared" si="56" ref="E148:J148">SUM(E153)</f>
        <v>0</v>
      </c>
      <c r="F148" s="18">
        <f t="shared" si="56"/>
        <v>0</v>
      </c>
      <c r="G148" s="18">
        <f t="shared" si="56"/>
        <v>0</v>
      </c>
      <c r="H148" s="18">
        <f t="shared" si="56"/>
        <v>0</v>
      </c>
      <c r="I148" s="18">
        <f t="shared" si="56"/>
        <v>0</v>
      </c>
      <c r="J148" s="18">
        <f t="shared" si="56"/>
        <v>0</v>
      </c>
      <c r="K148" s="74"/>
    </row>
    <row r="149" spans="1:11" s="9" customFormat="1" ht="15" customHeight="1">
      <c r="A149" s="123" t="s">
        <v>182</v>
      </c>
      <c r="B149" s="11" t="s">
        <v>9</v>
      </c>
      <c r="C149" s="19">
        <f>SUM(D149:J149)</f>
        <v>0</v>
      </c>
      <c r="D149" s="18">
        <f aca="true" t="shared" si="57" ref="D149:J149">SUM(D154)</f>
        <v>0</v>
      </c>
      <c r="E149" s="18">
        <f t="shared" si="57"/>
        <v>0</v>
      </c>
      <c r="F149" s="18">
        <f t="shared" si="57"/>
        <v>0</v>
      </c>
      <c r="G149" s="18">
        <f t="shared" si="57"/>
        <v>0</v>
      </c>
      <c r="H149" s="18">
        <f t="shared" si="57"/>
        <v>0</v>
      </c>
      <c r="I149" s="18">
        <f t="shared" si="57"/>
        <v>0</v>
      </c>
      <c r="J149" s="18">
        <f t="shared" si="57"/>
        <v>0</v>
      </c>
      <c r="K149" s="74"/>
    </row>
    <row r="150" spans="1:11" s="9" customFormat="1" ht="15" customHeight="1">
      <c r="A150" s="108"/>
      <c r="B150" s="11"/>
      <c r="C150" s="19"/>
      <c r="D150" s="22"/>
      <c r="E150" s="22"/>
      <c r="F150" s="22"/>
      <c r="G150" s="22"/>
      <c r="H150" s="22"/>
      <c r="I150" s="22"/>
      <c r="J150" s="22"/>
      <c r="K150" s="74"/>
    </row>
    <row r="151" spans="1:11" s="9" customFormat="1" ht="50.25" customHeight="1">
      <c r="A151" s="123" t="s">
        <v>183</v>
      </c>
      <c r="B151" s="44" t="s">
        <v>387</v>
      </c>
      <c r="C151" s="19">
        <f>SUM(C152:C155)</f>
        <v>0</v>
      </c>
      <c r="D151" s="19">
        <f>SUM(D152:D154)</f>
        <v>0</v>
      </c>
      <c r="E151" s="19">
        <f aca="true" t="shared" si="58" ref="E151:J151">SUM(E152:E154)</f>
        <v>0</v>
      </c>
      <c r="F151" s="19">
        <f t="shared" si="58"/>
        <v>0</v>
      </c>
      <c r="G151" s="19">
        <f t="shared" si="58"/>
        <v>0</v>
      </c>
      <c r="H151" s="19">
        <f t="shared" si="58"/>
        <v>0</v>
      </c>
      <c r="I151" s="19">
        <f t="shared" si="58"/>
        <v>0</v>
      </c>
      <c r="J151" s="19">
        <f t="shared" si="58"/>
        <v>0</v>
      </c>
      <c r="K151" s="74"/>
    </row>
    <row r="152" spans="1:11" s="9" customFormat="1" ht="15" customHeight="1">
      <c r="A152" s="123" t="s">
        <v>184</v>
      </c>
      <c r="B152" s="11" t="s">
        <v>7</v>
      </c>
      <c r="C152" s="19">
        <f>SUM(D152:J152)</f>
        <v>0</v>
      </c>
      <c r="D152" s="53"/>
      <c r="E152" s="16"/>
      <c r="F152" s="16"/>
      <c r="G152" s="16"/>
      <c r="H152" s="16"/>
      <c r="I152" s="16"/>
      <c r="J152" s="16"/>
      <c r="K152" s="74"/>
    </row>
    <row r="153" spans="1:11" s="9" customFormat="1" ht="15" customHeight="1">
      <c r="A153" s="123" t="s">
        <v>185</v>
      </c>
      <c r="B153" s="11" t="s">
        <v>8</v>
      </c>
      <c r="C153" s="19">
        <f>SUM(D153:J153)</f>
        <v>0</v>
      </c>
      <c r="D153" s="53"/>
      <c r="E153" s="16"/>
      <c r="F153" s="16"/>
      <c r="G153" s="16"/>
      <c r="H153" s="16"/>
      <c r="I153" s="16"/>
      <c r="J153" s="16"/>
      <c r="K153" s="74"/>
    </row>
    <row r="154" spans="1:11" s="9" customFormat="1" ht="15" customHeight="1">
      <c r="A154" s="123" t="s">
        <v>186</v>
      </c>
      <c r="B154" s="11" t="s">
        <v>9</v>
      </c>
      <c r="C154" s="19">
        <f>SUM(D154:J154)</f>
        <v>0</v>
      </c>
      <c r="D154" s="53"/>
      <c r="E154" s="16"/>
      <c r="F154" s="16"/>
      <c r="G154" s="16"/>
      <c r="H154" s="16"/>
      <c r="I154" s="16"/>
      <c r="J154" s="16"/>
      <c r="K154" s="74"/>
    </row>
    <row r="155" spans="1:11" s="9" customFormat="1" ht="15" customHeight="1">
      <c r="A155" s="108"/>
      <c r="B155" s="11"/>
      <c r="C155" s="19"/>
      <c r="D155" s="22"/>
      <c r="E155" s="22"/>
      <c r="F155" s="22"/>
      <c r="G155" s="22"/>
      <c r="H155" s="22"/>
      <c r="I155" s="22"/>
      <c r="J155" s="22"/>
      <c r="K155" s="74"/>
    </row>
    <row r="156" spans="1:11" s="9" customFormat="1" ht="15" customHeight="1">
      <c r="A156" s="110"/>
      <c r="B156" s="170" t="s">
        <v>23</v>
      </c>
      <c r="C156" s="171"/>
      <c r="D156" s="171"/>
      <c r="E156" s="171"/>
      <c r="F156" s="171"/>
      <c r="G156" s="171"/>
      <c r="H156" s="171"/>
      <c r="I156" s="171"/>
      <c r="J156" s="171"/>
      <c r="K156" s="172"/>
    </row>
    <row r="157" spans="1:11" s="42" customFormat="1" ht="31.5">
      <c r="A157" s="111" t="s">
        <v>187</v>
      </c>
      <c r="B157" s="47" t="s">
        <v>332</v>
      </c>
      <c r="C157" s="41">
        <f aca="true" t="shared" si="59" ref="C157:J157">SUM(C158:C159)</f>
        <v>5000</v>
      </c>
      <c r="D157" s="36">
        <f t="shared" si="59"/>
        <v>0</v>
      </c>
      <c r="E157" s="36">
        <f t="shared" si="59"/>
        <v>0</v>
      </c>
      <c r="F157" s="36">
        <f t="shared" si="59"/>
        <v>5000</v>
      </c>
      <c r="G157" s="36">
        <f t="shared" si="59"/>
        <v>0</v>
      </c>
      <c r="H157" s="36">
        <f t="shared" si="59"/>
        <v>0</v>
      </c>
      <c r="I157" s="36">
        <f t="shared" si="59"/>
        <v>0</v>
      </c>
      <c r="J157" s="36">
        <f t="shared" si="59"/>
        <v>0</v>
      </c>
      <c r="K157" s="77"/>
    </row>
    <row r="158" spans="1:11" s="15" customFormat="1" ht="15" customHeight="1">
      <c r="A158" s="113" t="s">
        <v>188</v>
      </c>
      <c r="B158" s="11" t="s">
        <v>7</v>
      </c>
      <c r="C158" s="41">
        <f>SUM(D158:J158)</f>
        <v>5000</v>
      </c>
      <c r="D158" s="30">
        <f>SUM(D162)</f>
        <v>0</v>
      </c>
      <c r="E158" s="30">
        <f aca="true" t="shared" si="60" ref="E158:J158">SUM(E162)</f>
        <v>0</v>
      </c>
      <c r="F158" s="30">
        <f t="shared" si="60"/>
        <v>5000</v>
      </c>
      <c r="G158" s="30">
        <f t="shared" si="60"/>
        <v>0</v>
      </c>
      <c r="H158" s="30">
        <f t="shared" si="60"/>
        <v>0</v>
      </c>
      <c r="I158" s="30">
        <f t="shared" si="60"/>
        <v>0</v>
      </c>
      <c r="J158" s="30">
        <f t="shared" si="60"/>
        <v>0</v>
      </c>
      <c r="K158" s="78"/>
    </row>
    <row r="159" spans="1:11" s="15" customFormat="1" ht="15" customHeight="1">
      <c r="A159" s="113" t="s">
        <v>399</v>
      </c>
      <c r="B159" s="11" t="s">
        <v>9</v>
      </c>
      <c r="C159" s="41">
        <f>SUM(D159:J159)</f>
        <v>0</v>
      </c>
      <c r="D159" s="30">
        <f>SUM(D163)</f>
        <v>0</v>
      </c>
      <c r="E159" s="30">
        <f aca="true" t="shared" si="61" ref="E159:J159">SUM(E163)</f>
        <v>0</v>
      </c>
      <c r="F159" s="30">
        <f t="shared" si="61"/>
        <v>0</v>
      </c>
      <c r="G159" s="30">
        <f t="shared" si="61"/>
        <v>0</v>
      </c>
      <c r="H159" s="30">
        <f t="shared" si="61"/>
        <v>0</v>
      </c>
      <c r="I159" s="30">
        <f t="shared" si="61"/>
        <v>0</v>
      </c>
      <c r="J159" s="30">
        <f t="shared" si="61"/>
        <v>0</v>
      </c>
      <c r="K159" s="78"/>
    </row>
    <row r="160" spans="1:11" s="9" customFormat="1" ht="15" customHeight="1">
      <c r="A160" s="108"/>
      <c r="B160" s="11"/>
      <c r="C160" s="19"/>
      <c r="D160" s="22"/>
      <c r="E160" s="22"/>
      <c r="F160" s="22"/>
      <c r="G160" s="22"/>
      <c r="H160" s="22"/>
      <c r="I160" s="22"/>
      <c r="J160" s="22"/>
      <c r="K160" s="74"/>
    </row>
    <row r="161" spans="1:11" s="9" customFormat="1" ht="98.25" customHeight="1">
      <c r="A161" s="124" t="s">
        <v>189</v>
      </c>
      <c r="B161" s="149" t="s">
        <v>388</v>
      </c>
      <c r="C161" s="41">
        <f>SUM(D161:J161)</f>
        <v>5000</v>
      </c>
      <c r="D161" s="36">
        <f aca="true" t="shared" si="62" ref="D161:J161">SUM(D162:D163)</f>
        <v>0</v>
      </c>
      <c r="E161" s="36">
        <f t="shared" si="62"/>
        <v>0</v>
      </c>
      <c r="F161" s="36">
        <f t="shared" si="62"/>
        <v>5000</v>
      </c>
      <c r="G161" s="36">
        <f t="shared" si="62"/>
        <v>0</v>
      </c>
      <c r="H161" s="36">
        <f t="shared" si="62"/>
        <v>0</v>
      </c>
      <c r="I161" s="36">
        <f t="shared" si="62"/>
        <v>0</v>
      </c>
      <c r="J161" s="36">
        <f t="shared" si="62"/>
        <v>0</v>
      </c>
      <c r="K161" s="78" t="s">
        <v>398</v>
      </c>
    </row>
    <row r="162" spans="1:11" s="9" customFormat="1" ht="15" customHeight="1">
      <c r="A162" s="124" t="s">
        <v>400</v>
      </c>
      <c r="B162" s="11" t="s">
        <v>7</v>
      </c>
      <c r="C162" s="41">
        <f>SUM(D162:J162)</f>
        <v>5000</v>
      </c>
      <c r="D162" s="36">
        <f>SUM(D165+D168)</f>
        <v>0</v>
      </c>
      <c r="E162" s="36">
        <f aca="true" t="shared" si="63" ref="E162:J162">SUM(E165+E168)</f>
        <v>0</v>
      </c>
      <c r="F162" s="36">
        <f t="shared" si="63"/>
        <v>5000</v>
      </c>
      <c r="G162" s="36">
        <f t="shared" si="63"/>
        <v>0</v>
      </c>
      <c r="H162" s="36">
        <f t="shared" si="63"/>
        <v>0</v>
      </c>
      <c r="I162" s="36">
        <f t="shared" si="63"/>
        <v>0</v>
      </c>
      <c r="J162" s="36">
        <f t="shared" si="63"/>
        <v>0</v>
      </c>
      <c r="K162" s="78"/>
    </row>
    <row r="163" spans="1:11" s="9" customFormat="1" ht="15" customHeight="1">
      <c r="A163" s="124" t="s">
        <v>401</v>
      </c>
      <c r="B163" s="11" t="s">
        <v>9</v>
      </c>
      <c r="C163" s="41">
        <f>SUM(D163:J163)</f>
        <v>0</v>
      </c>
      <c r="D163" s="36">
        <f>SUM(D166+D169)</f>
        <v>0</v>
      </c>
      <c r="E163" s="36">
        <f aca="true" t="shared" si="64" ref="E163:J163">SUM(E166+E169)</f>
        <v>0</v>
      </c>
      <c r="F163" s="36">
        <f t="shared" si="64"/>
        <v>0</v>
      </c>
      <c r="G163" s="36">
        <f t="shared" si="64"/>
        <v>0</v>
      </c>
      <c r="H163" s="36">
        <f t="shared" si="64"/>
        <v>0</v>
      </c>
      <c r="I163" s="36">
        <f t="shared" si="64"/>
        <v>0</v>
      </c>
      <c r="J163" s="36">
        <f t="shared" si="64"/>
        <v>0</v>
      </c>
      <c r="K163" s="78"/>
    </row>
    <row r="164" spans="1:11" s="9" customFormat="1" ht="15" customHeight="1">
      <c r="A164" s="124"/>
      <c r="B164" s="97" t="s">
        <v>342</v>
      </c>
      <c r="C164" s="41"/>
      <c r="D164" s="35"/>
      <c r="E164" s="35"/>
      <c r="F164" s="35"/>
      <c r="G164" s="35"/>
      <c r="H164" s="35"/>
      <c r="I164" s="35"/>
      <c r="J164" s="35"/>
      <c r="K164" s="78"/>
    </row>
    <row r="165" spans="1:11" s="9" customFormat="1" ht="15" customHeight="1">
      <c r="A165" s="124" t="s">
        <v>402</v>
      </c>
      <c r="B165" s="11" t="s">
        <v>7</v>
      </c>
      <c r="C165" s="41">
        <f>SUM(D165:J165)</f>
        <v>500</v>
      </c>
      <c r="D165" s="35"/>
      <c r="E165" s="35"/>
      <c r="F165" s="35">
        <v>500</v>
      </c>
      <c r="G165" s="35"/>
      <c r="H165" s="35"/>
      <c r="I165" s="35"/>
      <c r="J165" s="35"/>
      <c r="K165" s="78"/>
    </row>
    <row r="166" spans="1:11" s="9" customFormat="1" ht="15" customHeight="1">
      <c r="A166" s="124" t="s">
        <v>403</v>
      </c>
      <c r="B166" s="11" t="s">
        <v>9</v>
      </c>
      <c r="C166" s="41">
        <f>SUM(D166:J166)</f>
        <v>0</v>
      </c>
      <c r="D166" s="35"/>
      <c r="E166" s="35"/>
      <c r="F166" s="35"/>
      <c r="G166" s="35"/>
      <c r="H166" s="35"/>
      <c r="I166" s="35"/>
      <c r="J166" s="35"/>
      <c r="K166" s="78"/>
    </row>
    <row r="167" spans="1:11" s="9" customFormat="1" ht="35.25" customHeight="1">
      <c r="A167" s="124"/>
      <c r="B167" s="97" t="s">
        <v>343</v>
      </c>
      <c r="C167" s="41"/>
      <c r="D167" s="35"/>
      <c r="E167" s="35"/>
      <c r="F167" s="35"/>
      <c r="G167" s="35"/>
      <c r="H167" s="35"/>
      <c r="I167" s="35"/>
      <c r="J167" s="35"/>
      <c r="K167" s="78"/>
    </row>
    <row r="168" spans="1:11" s="9" customFormat="1" ht="15" customHeight="1">
      <c r="A168" s="124" t="s">
        <v>190</v>
      </c>
      <c r="B168" s="11" t="s">
        <v>7</v>
      </c>
      <c r="C168" s="41">
        <f>SUM(D168:J168)</f>
        <v>4500</v>
      </c>
      <c r="D168" s="35"/>
      <c r="E168" s="35"/>
      <c r="F168" s="35">
        <v>4500</v>
      </c>
      <c r="G168" s="35"/>
      <c r="H168" s="35"/>
      <c r="I168" s="35"/>
      <c r="J168" s="35"/>
      <c r="K168" s="78"/>
    </row>
    <row r="169" spans="1:11" s="9" customFormat="1" ht="15" customHeight="1">
      <c r="A169" s="124" t="s">
        <v>191</v>
      </c>
      <c r="B169" s="11" t="s">
        <v>9</v>
      </c>
      <c r="C169" s="41">
        <f>SUM(D169:J169)</f>
        <v>0</v>
      </c>
      <c r="D169" s="35"/>
      <c r="E169" s="35"/>
      <c r="F169" s="35"/>
      <c r="G169" s="35"/>
      <c r="H169" s="35"/>
      <c r="I169" s="35"/>
      <c r="J169" s="35"/>
      <c r="K169" s="78"/>
    </row>
    <row r="170" spans="1:11" s="9" customFormat="1" ht="15" customHeight="1">
      <c r="A170" s="123"/>
      <c r="B170" s="11"/>
      <c r="C170" s="17"/>
      <c r="D170" s="20"/>
      <c r="E170" s="20"/>
      <c r="F170" s="20"/>
      <c r="G170" s="20"/>
      <c r="H170" s="20"/>
      <c r="I170" s="20"/>
      <c r="J170" s="20"/>
      <c r="K170" s="74"/>
    </row>
    <row r="171" spans="1:11" s="9" customFormat="1" ht="15" customHeight="1">
      <c r="A171" s="109"/>
      <c r="B171" s="173" t="s">
        <v>15</v>
      </c>
      <c r="C171" s="174"/>
      <c r="D171" s="174"/>
      <c r="E171" s="174"/>
      <c r="F171" s="174"/>
      <c r="G171" s="174"/>
      <c r="H171" s="174"/>
      <c r="I171" s="174"/>
      <c r="J171" s="174"/>
      <c r="K171" s="175"/>
    </row>
    <row r="172" spans="1:11" s="40" customFormat="1" ht="22.5" customHeight="1">
      <c r="A172" s="107" t="s">
        <v>192</v>
      </c>
      <c r="B172" s="44" t="s">
        <v>16</v>
      </c>
      <c r="C172" s="19">
        <f>SUM(D172:J172)</f>
        <v>2399608.8880000003</v>
      </c>
      <c r="D172" s="19">
        <f>SUM(D173:D176)</f>
        <v>364991.7</v>
      </c>
      <c r="E172" s="101">
        <f aca="true" t="shared" si="65" ref="E172:J172">SUM(E173:E176)</f>
        <v>310044.78800000006</v>
      </c>
      <c r="F172" s="19">
        <f t="shared" si="65"/>
        <v>272473</v>
      </c>
      <c r="G172" s="19">
        <f t="shared" si="65"/>
        <v>329605.4</v>
      </c>
      <c r="H172" s="19">
        <f t="shared" si="65"/>
        <v>376048</v>
      </c>
      <c r="I172" s="19">
        <f t="shared" si="65"/>
        <v>375948</v>
      </c>
      <c r="J172" s="19">
        <f t="shared" si="65"/>
        <v>370498</v>
      </c>
      <c r="K172" s="73"/>
    </row>
    <row r="173" spans="1:11" s="9" customFormat="1" ht="15" customHeight="1">
      <c r="A173" s="123" t="s">
        <v>193</v>
      </c>
      <c r="B173" s="11" t="s">
        <v>7</v>
      </c>
      <c r="C173" s="19">
        <f>SUM(D173:J173)</f>
        <v>968229.537</v>
      </c>
      <c r="D173" s="22">
        <f>SUM(D179+D190+D221+D232+D235+D250)</f>
        <v>163755.8</v>
      </c>
      <c r="E173" s="144">
        <f aca="true" t="shared" si="66" ref="E173:J173">SUM(E179+E190+E221+E232+E235+E250)</f>
        <v>129820.337</v>
      </c>
      <c r="F173" s="22">
        <f t="shared" si="66"/>
        <v>82891</v>
      </c>
      <c r="G173" s="22">
        <f t="shared" si="66"/>
        <v>139627.4</v>
      </c>
      <c r="H173" s="22">
        <f t="shared" si="66"/>
        <v>152595</v>
      </c>
      <c r="I173" s="22">
        <f t="shared" si="66"/>
        <v>152495</v>
      </c>
      <c r="J173" s="22">
        <f t="shared" si="66"/>
        <v>147045</v>
      </c>
      <c r="K173" s="80"/>
    </row>
    <row r="174" spans="1:11" s="9" customFormat="1" ht="15" customHeight="1">
      <c r="A174" s="123" t="s">
        <v>194</v>
      </c>
      <c r="B174" s="11" t="s">
        <v>8</v>
      </c>
      <c r="C174" s="19">
        <f>SUM(D174:J174)</f>
        <v>3597.1310000000003</v>
      </c>
      <c r="D174" s="34">
        <f>SUM(D222+D252)</f>
        <v>1155.7</v>
      </c>
      <c r="E174" s="100">
        <f aca="true" t="shared" si="67" ref="E174:J174">SUM(E222+E252)</f>
        <v>2441.431</v>
      </c>
      <c r="F174" s="34">
        <f t="shared" si="67"/>
        <v>0</v>
      </c>
      <c r="G174" s="34">
        <f t="shared" si="67"/>
        <v>0</v>
      </c>
      <c r="H174" s="34">
        <f t="shared" si="67"/>
        <v>0</v>
      </c>
      <c r="I174" s="34">
        <f t="shared" si="67"/>
        <v>0</v>
      </c>
      <c r="J174" s="34">
        <f t="shared" si="67"/>
        <v>0</v>
      </c>
      <c r="K174" s="74"/>
    </row>
    <row r="175" spans="1:11" s="9" customFormat="1" ht="15" customHeight="1">
      <c r="A175" s="123" t="s">
        <v>195</v>
      </c>
      <c r="B175" s="11" t="s">
        <v>9</v>
      </c>
      <c r="C175" s="19">
        <f>SUM(D175:J175)</f>
        <v>1415084.82</v>
      </c>
      <c r="D175" s="22">
        <f>SUM(D180+D191+D223+D229+D242+D247+D251)</f>
        <v>195882.8</v>
      </c>
      <c r="E175" s="144">
        <f aca="true" t="shared" si="68" ref="E175:J175">SUM(E180+E191+E223+E229+E242+E247+E251)</f>
        <v>177783.02000000002</v>
      </c>
      <c r="F175" s="22">
        <f t="shared" si="68"/>
        <v>187882</v>
      </c>
      <c r="G175" s="22">
        <f t="shared" si="68"/>
        <v>188278</v>
      </c>
      <c r="H175" s="22">
        <f t="shared" si="68"/>
        <v>221753</v>
      </c>
      <c r="I175" s="22">
        <f t="shared" si="68"/>
        <v>221753</v>
      </c>
      <c r="J175" s="22">
        <f t="shared" si="68"/>
        <v>221753</v>
      </c>
      <c r="K175" s="74"/>
    </row>
    <row r="176" spans="1:11" s="9" customFormat="1" ht="15" customHeight="1">
      <c r="A176" s="123" t="s">
        <v>196</v>
      </c>
      <c r="B176" s="13" t="s">
        <v>10</v>
      </c>
      <c r="C176" s="19">
        <f>SUM(D176:J176)</f>
        <v>12697.4</v>
      </c>
      <c r="D176" s="22">
        <f>SUM(D239)</f>
        <v>4197.4</v>
      </c>
      <c r="E176" s="144">
        <f aca="true" t="shared" si="69" ref="E176:J176">SUM(E239)</f>
        <v>0</v>
      </c>
      <c r="F176" s="22">
        <f>SUM(F239)</f>
        <v>1700</v>
      </c>
      <c r="G176" s="22">
        <f t="shared" si="69"/>
        <v>1700</v>
      </c>
      <c r="H176" s="22">
        <f t="shared" si="69"/>
        <v>1700</v>
      </c>
      <c r="I176" s="22">
        <f t="shared" si="69"/>
        <v>1700</v>
      </c>
      <c r="J176" s="22">
        <f t="shared" si="69"/>
        <v>1700</v>
      </c>
      <c r="K176" s="74"/>
    </row>
    <row r="177" spans="1:11" s="9" customFormat="1" ht="15" customHeight="1">
      <c r="A177" s="108"/>
      <c r="B177" s="13"/>
      <c r="C177" s="19"/>
      <c r="D177" s="23"/>
      <c r="E177" s="23"/>
      <c r="F177" s="23"/>
      <c r="G177" s="23"/>
      <c r="H177" s="23"/>
      <c r="I177" s="23"/>
      <c r="J177" s="23"/>
      <c r="K177" s="74"/>
    </row>
    <row r="178" spans="1:11" s="40" customFormat="1" ht="50.25" customHeight="1">
      <c r="A178" s="116" t="s">
        <v>197</v>
      </c>
      <c r="B178" s="44" t="s">
        <v>389</v>
      </c>
      <c r="C178" s="17">
        <f>SUM(C179:C180)</f>
        <v>11000</v>
      </c>
      <c r="D178" s="17">
        <f>SUM(D179:D180)</f>
        <v>0</v>
      </c>
      <c r="E178" s="17">
        <f aca="true" t="shared" si="70" ref="E178:J178">SUM(E179:E180)</f>
        <v>0</v>
      </c>
      <c r="F178" s="17">
        <f t="shared" si="70"/>
        <v>0</v>
      </c>
      <c r="G178" s="17">
        <f t="shared" si="70"/>
        <v>2000</v>
      </c>
      <c r="H178" s="17">
        <f t="shared" si="70"/>
        <v>3000</v>
      </c>
      <c r="I178" s="17">
        <f t="shared" si="70"/>
        <v>3000</v>
      </c>
      <c r="J178" s="17">
        <f t="shared" si="70"/>
        <v>3000</v>
      </c>
      <c r="K178" s="74" t="s">
        <v>26</v>
      </c>
    </row>
    <row r="179" spans="1:11" s="9" customFormat="1" ht="15" customHeight="1">
      <c r="A179" s="123" t="s">
        <v>198</v>
      </c>
      <c r="B179" s="11" t="s">
        <v>7</v>
      </c>
      <c r="C179" s="19">
        <f>SUM(D179:J179)</f>
        <v>11000</v>
      </c>
      <c r="D179" s="20">
        <f aca="true" t="shared" si="71" ref="D179:J179">SUM(D182:D187)</f>
        <v>0</v>
      </c>
      <c r="E179" s="20">
        <f t="shared" si="71"/>
        <v>0</v>
      </c>
      <c r="F179" s="20">
        <f t="shared" si="71"/>
        <v>0</v>
      </c>
      <c r="G179" s="20">
        <f t="shared" si="71"/>
        <v>2000</v>
      </c>
      <c r="H179" s="20">
        <f t="shared" si="71"/>
        <v>3000</v>
      </c>
      <c r="I179" s="20">
        <f t="shared" si="71"/>
        <v>3000</v>
      </c>
      <c r="J179" s="20">
        <f t="shared" si="71"/>
        <v>3000</v>
      </c>
      <c r="K179" s="74"/>
    </row>
    <row r="180" spans="1:11" s="9" customFormat="1" ht="15" customHeight="1">
      <c r="A180" s="123" t="s">
        <v>199</v>
      </c>
      <c r="B180" s="11" t="s">
        <v>9</v>
      </c>
      <c r="C180" s="19">
        <f aca="true" t="shared" si="72" ref="C180:C187">SUM(D180:J180)</f>
        <v>0</v>
      </c>
      <c r="D180" s="20"/>
      <c r="E180" s="20"/>
      <c r="F180" s="20"/>
      <c r="G180" s="20"/>
      <c r="H180" s="20"/>
      <c r="I180" s="20"/>
      <c r="J180" s="20"/>
      <c r="K180" s="74"/>
    </row>
    <row r="181" spans="1:11" s="14" customFormat="1" ht="15" customHeight="1">
      <c r="A181" s="108"/>
      <c r="B181" s="13" t="s">
        <v>19</v>
      </c>
      <c r="C181" s="19">
        <f t="shared" si="72"/>
        <v>0</v>
      </c>
      <c r="D181" s="21"/>
      <c r="E181" s="21"/>
      <c r="F181" s="21"/>
      <c r="G181" s="21"/>
      <c r="H181" s="21"/>
      <c r="I181" s="21"/>
      <c r="J181" s="21"/>
      <c r="K181" s="76"/>
    </row>
    <row r="182" spans="1:11" s="9" customFormat="1" ht="15" customHeight="1">
      <c r="A182" s="123" t="s">
        <v>200</v>
      </c>
      <c r="B182" s="11" t="s">
        <v>44</v>
      </c>
      <c r="C182" s="19">
        <f t="shared" si="72"/>
        <v>0</v>
      </c>
      <c r="D182" s="20"/>
      <c r="E182" s="20"/>
      <c r="F182" s="30"/>
      <c r="G182" s="20"/>
      <c r="H182" s="20"/>
      <c r="I182" s="20"/>
      <c r="J182" s="20"/>
      <c r="K182" s="74"/>
    </row>
    <row r="183" spans="1:11" s="9" customFormat="1" ht="15" customHeight="1">
      <c r="A183" s="123" t="s">
        <v>201</v>
      </c>
      <c r="B183" s="11" t="s">
        <v>45</v>
      </c>
      <c r="C183" s="19">
        <f t="shared" si="72"/>
        <v>2000</v>
      </c>
      <c r="D183" s="20"/>
      <c r="E183" s="20"/>
      <c r="F183" s="20"/>
      <c r="G183" s="20">
        <v>2000</v>
      </c>
      <c r="H183" s="20"/>
      <c r="I183" s="20"/>
      <c r="J183" s="20"/>
      <c r="K183" s="74"/>
    </row>
    <row r="184" spans="1:11" s="9" customFormat="1" ht="15" customHeight="1">
      <c r="A184" s="123" t="s">
        <v>202</v>
      </c>
      <c r="B184" s="11" t="s">
        <v>43</v>
      </c>
      <c r="C184" s="19">
        <f t="shared" si="72"/>
        <v>3000</v>
      </c>
      <c r="D184" s="20"/>
      <c r="E184" s="20"/>
      <c r="F184" s="20"/>
      <c r="G184" s="20"/>
      <c r="H184" s="20">
        <v>3000</v>
      </c>
      <c r="I184" s="20"/>
      <c r="J184" s="20"/>
      <c r="K184" s="74"/>
    </row>
    <row r="185" spans="1:11" s="9" customFormat="1" ht="15" customHeight="1">
      <c r="A185" s="123" t="s">
        <v>203</v>
      </c>
      <c r="B185" s="11" t="s">
        <v>129</v>
      </c>
      <c r="C185" s="19">
        <f t="shared" si="72"/>
        <v>1000</v>
      </c>
      <c r="D185" s="20"/>
      <c r="E185" s="20"/>
      <c r="F185" s="20"/>
      <c r="G185" s="20"/>
      <c r="H185" s="20"/>
      <c r="I185" s="20">
        <v>1000</v>
      </c>
      <c r="J185" s="20"/>
      <c r="K185" s="74"/>
    </row>
    <row r="186" spans="1:11" s="9" customFormat="1" ht="15" customHeight="1">
      <c r="A186" s="123" t="s">
        <v>204</v>
      </c>
      <c r="B186" s="11" t="s">
        <v>27</v>
      </c>
      <c r="C186" s="19">
        <f t="shared" si="72"/>
        <v>2000</v>
      </c>
      <c r="D186" s="20"/>
      <c r="E186" s="20"/>
      <c r="F186" s="20"/>
      <c r="G186" s="20"/>
      <c r="H186" s="20"/>
      <c r="I186" s="20">
        <v>2000</v>
      </c>
      <c r="J186" s="20"/>
      <c r="K186" s="74"/>
    </row>
    <row r="187" spans="1:11" s="9" customFormat="1" ht="15" customHeight="1">
      <c r="A187" s="123" t="s">
        <v>205</v>
      </c>
      <c r="B187" s="11" t="s">
        <v>130</v>
      </c>
      <c r="C187" s="19">
        <f t="shared" si="72"/>
        <v>3000</v>
      </c>
      <c r="D187" s="20"/>
      <c r="E187" s="20"/>
      <c r="F187" s="20"/>
      <c r="G187" s="20"/>
      <c r="H187" s="20"/>
      <c r="I187" s="20"/>
      <c r="J187" s="20">
        <v>3000</v>
      </c>
      <c r="K187" s="74"/>
    </row>
    <row r="188" spans="1:11" s="9" customFormat="1" ht="15" customHeight="1">
      <c r="A188" s="108"/>
      <c r="B188" s="11"/>
      <c r="C188" s="19"/>
      <c r="D188" s="20"/>
      <c r="E188" s="20"/>
      <c r="F188" s="20"/>
      <c r="G188" s="20"/>
      <c r="H188" s="20"/>
      <c r="I188" s="20"/>
      <c r="J188" s="20"/>
      <c r="K188" s="74"/>
    </row>
    <row r="189" spans="1:11" s="40" customFormat="1" ht="94.5">
      <c r="A189" s="107" t="s">
        <v>206</v>
      </c>
      <c r="B189" s="44" t="s">
        <v>390</v>
      </c>
      <c r="C189" s="17">
        <f aca="true" t="shared" si="73" ref="C189:J189">SUM(C190:C191)</f>
        <v>36459.653000000006</v>
      </c>
      <c r="D189" s="17">
        <f t="shared" si="73"/>
        <v>8430</v>
      </c>
      <c r="E189" s="141">
        <f t="shared" si="73"/>
        <v>8229.652999999998</v>
      </c>
      <c r="F189" s="17">
        <f t="shared" si="73"/>
        <v>4800</v>
      </c>
      <c r="G189" s="17">
        <f t="shared" si="73"/>
        <v>4000</v>
      </c>
      <c r="H189" s="17">
        <f t="shared" si="73"/>
        <v>5550</v>
      </c>
      <c r="I189" s="17">
        <f t="shared" si="73"/>
        <v>5450</v>
      </c>
      <c r="J189" s="17">
        <f t="shared" si="73"/>
        <v>0</v>
      </c>
      <c r="K189" s="74" t="s">
        <v>80</v>
      </c>
    </row>
    <row r="190" spans="1:11" s="9" customFormat="1" ht="15" customHeight="1">
      <c r="A190" s="123" t="s">
        <v>207</v>
      </c>
      <c r="B190" s="11" t="s">
        <v>7</v>
      </c>
      <c r="C190" s="19">
        <f>SUM(D190:J190)</f>
        <v>34435.853</v>
      </c>
      <c r="D190" s="35">
        <v>7282</v>
      </c>
      <c r="E190" s="99">
        <f aca="true" t="shared" si="74" ref="E190:J190">E193+E207+E217</f>
        <v>7353.852999999999</v>
      </c>
      <c r="F190" s="35">
        <f>F193+F207+F217</f>
        <v>4800</v>
      </c>
      <c r="G190" s="35">
        <f t="shared" si="74"/>
        <v>4000</v>
      </c>
      <c r="H190" s="35">
        <f t="shared" si="74"/>
        <v>5550</v>
      </c>
      <c r="I190" s="35">
        <f t="shared" si="74"/>
        <v>5450</v>
      </c>
      <c r="J190" s="35">
        <f t="shared" si="74"/>
        <v>0</v>
      </c>
      <c r="K190" s="80"/>
    </row>
    <row r="191" spans="1:11" s="9" customFormat="1" ht="15" customHeight="1">
      <c r="A191" s="123" t="s">
        <v>208</v>
      </c>
      <c r="B191" s="11" t="s">
        <v>9</v>
      </c>
      <c r="C191" s="19">
        <f>SUM(D191:J191)</f>
        <v>2023.8</v>
      </c>
      <c r="D191" s="35">
        <v>1148</v>
      </c>
      <c r="E191" s="35">
        <v>875.8</v>
      </c>
      <c r="F191" s="23"/>
      <c r="G191" s="23"/>
      <c r="H191" s="23"/>
      <c r="I191" s="23"/>
      <c r="J191" s="23"/>
      <c r="K191" s="80"/>
    </row>
    <row r="192" spans="1:11" s="40" customFormat="1" ht="15" customHeight="1">
      <c r="A192" s="118"/>
      <c r="B192" s="98" t="s">
        <v>146</v>
      </c>
      <c r="C192" s="19">
        <f>SUM(D192:J192)</f>
        <v>28026.8</v>
      </c>
      <c r="D192" s="36">
        <f aca="true" t="shared" si="75" ref="D192:J192">SUM(D194:D206)</f>
        <v>8430</v>
      </c>
      <c r="E192" s="140">
        <f>SUM(E194:E206)</f>
        <v>4296.8</v>
      </c>
      <c r="F192" s="36">
        <f t="shared" si="75"/>
        <v>1300</v>
      </c>
      <c r="G192" s="36">
        <f t="shared" si="75"/>
        <v>4000</v>
      </c>
      <c r="H192" s="36">
        <f t="shared" si="75"/>
        <v>5000</v>
      </c>
      <c r="I192" s="36">
        <f t="shared" si="75"/>
        <v>5000</v>
      </c>
      <c r="J192" s="36">
        <f t="shared" si="75"/>
        <v>0</v>
      </c>
      <c r="K192" s="75"/>
    </row>
    <row r="193" spans="1:11" s="14" customFormat="1" ht="20.25" customHeight="1">
      <c r="A193" s="115"/>
      <c r="B193" s="13" t="s">
        <v>147</v>
      </c>
      <c r="C193" s="132">
        <f>SUM(D193:J193)</f>
        <v>26003</v>
      </c>
      <c r="D193" s="21">
        <f>D192-1148</f>
        <v>7282</v>
      </c>
      <c r="E193" s="21">
        <f>E192-875.8</f>
        <v>3421</v>
      </c>
      <c r="F193" s="21">
        <f>F192</f>
        <v>1300</v>
      </c>
      <c r="G193" s="21">
        <f>G192</f>
        <v>4000</v>
      </c>
      <c r="H193" s="21">
        <f>H192</f>
        <v>5000</v>
      </c>
      <c r="I193" s="21">
        <f>I192</f>
        <v>5000</v>
      </c>
      <c r="J193" s="21">
        <f>J192</f>
        <v>0</v>
      </c>
      <c r="K193" s="76"/>
    </row>
    <row r="194" spans="1:11" s="14" customFormat="1" ht="15" customHeight="1">
      <c r="A194" s="123" t="s">
        <v>209</v>
      </c>
      <c r="B194" s="13" t="s">
        <v>46</v>
      </c>
      <c r="C194" s="19">
        <f aca="true" t="shared" si="76" ref="C194:C206">SUM(D194:J194)</f>
        <v>2785.3</v>
      </c>
      <c r="D194" s="35">
        <f>3000-214.7</f>
        <v>2785.3</v>
      </c>
      <c r="E194" s="21"/>
      <c r="F194" s="21"/>
      <c r="G194" s="21"/>
      <c r="H194" s="21"/>
      <c r="I194" s="21"/>
      <c r="J194" s="21"/>
      <c r="K194" s="76"/>
    </row>
    <row r="195" spans="1:11" s="14" customFormat="1" ht="15" customHeight="1">
      <c r="A195" s="123" t="s">
        <v>210</v>
      </c>
      <c r="B195" s="13" t="s">
        <v>131</v>
      </c>
      <c r="C195" s="19">
        <f t="shared" si="76"/>
        <v>1998.4</v>
      </c>
      <c r="D195" s="35">
        <f>2000-500-180+678.4</f>
        <v>1998.4</v>
      </c>
      <c r="E195" s="21"/>
      <c r="F195" s="21"/>
      <c r="G195" s="21"/>
      <c r="H195" s="21"/>
      <c r="I195" s="21"/>
      <c r="J195" s="21"/>
      <c r="K195" s="76"/>
    </row>
    <row r="196" spans="1:11" s="9" customFormat="1" ht="15.75">
      <c r="A196" s="123" t="s">
        <v>211</v>
      </c>
      <c r="B196" s="11" t="s">
        <v>47</v>
      </c>
      <c r="C196" s="19">
        <f t="shared" si="76"/>
        <v>465</v>
      </c>
      <c r="D196" s="30">
        <f>1000-535</f>
        <v>465</v>
      </c>
      <c r="E196" s="20"/>
      <c r="F196" s="20"/>
      <c r="G196" s="20"/>
      <c r="H196" s="20"/>
      <c r="I196" s="20"/>
      <c r="J196" s="20"/>
      <c r="K196" s="74"/>
    </row>
    <row r="197" spans="1:11" s="9" customFormat="1" ht="15.75">
      <c r="A197" s="123" t="s">
        <v>212</v>
      </c>
      <c r="B197" s="11" t="s">
        <v>48</v>
      </c>
      <c r="C197" s="19">
        <f t="shared" si="76"/>
        <v>2531.3</v>
      </c>
      <c r="D197" s="30">
        <f>2500+1148-1116.7</f>
        <v>2531.3</v>
      </c>
      <c r="E197" s="20"/>
      <c r="F197" s="20"/>
      <c r="G197" s="20"/>
      <c r="H197" s="20"/>
      <c r="I197" s="20"/>
      <c r="J197" s="20"/>
      <c r="K197" s="74"/>
    </row>
    <row r="198" spans="1:11" s="9" customFormat="1" ht="15.75">
      <c r="A198" s="123" t="s">
        <v>213</v>
      </c>
      <c r="B198" s="11" t="s">
        <v>28</v>
      </c>
      <c r="C198" s="19">
        <f t="shared" si="76"/>
        <v>909</v>
      </c>
      <c r="D198" s="30"/>
      <c r="E198" s="30">
        <f>875.8+624.2-591</f>
        <v>909</v>
      </c>
      <c r="F198" s="30"/>
      <c r="G198" s="20"/>
      <c r="H198" s="20"/>
      <c r="I198" s="20"/>
      <c r="J198" s="20"/>
      <c r="K198" s="74"/>
    </row>
    <row r="199" spans="1:11" s="9" customFormat="1" ht="15.75">
      <c r="A199" s="123" t="s">
        <v>214</v>
      </c>
      <c r="B199" s="33" t="s">
        <v>143</v>
      </c>
      <c r="C199" s="19">
        <f t="shared" si="76"/>
        <v>3387.8</v>
      </c>
      <c r="D199" s="30"/>
      <c r="E199" s="30">
        <f>2000+512+875.8</f>
        <v>3387.8</v>
      </c>
      <c r="F199" s="30"/>
      <c r="G199" s="20"/>
      <c r="H199" s="20"/>
      <c r="I199" s="20"/>
      <c r="J199" s="20"/>
      <c r="K199" s="74"/>
    </row>
    <row r="200" spans="1:11" s="9" customFormat="1" ht="15" customHeight="1">
      <c r="A200" s="123" t="s">
        <v>215</v>
      </c>
      <c r="B200" s="11" t="s">
        <v>132</v>
      </c>
      <c r="C200" s="19">
        <f t="shared" si="76"/>
        <v>0</v>
      </c>
      <c r="D200" s="30"/>
      <c r="E200" s="30"/>
      <c r="F200" s="30"/>
      <c r="G200" s="20"/>
      <c r="H200" s="20"/>
      <c r="I200" s="20"/>
      <c r="J200" s="20"/>
      <c r="K200" s="74"/>
    </row>
    <row r="201" spans="1:11" s="9" customFormat="1" ht="15" customHeight="1">
      <c r="A201" s="123" t="s">
        <v>216</v>
      </c>
      <c r="B201" s="11" t="s">
        <v>133</v>
      </c>
      <c r="C201" s="19">
        <f t="shared" si="76"/>
        <v>1300</v>
      </c>
      <c r="D201" s="30"/>
      <c r="E201" s="30"/>
      <c r="F201" s="30">
        <f>800+500</f>
        <v>1300</v>
      </c>
      <c r="G201" s="20"/>
      <c r="H201" s="20"/>
      <c r="I201" s="20"/>
      <c r="J201" s="20"/>
      <c r="K201" s="74"/>
    </row>
    <row r="202" spans="1:11" s="9" customFormat="1" ht="15" customHeight="1">
      <c r="A202" s="123" t="s">
        <v>217</v>
      </c>
      <c r="B202" s="11" t="s">
        <v>29</v>
      </c>
      <c r="C202" s="19">
        <f t="shared" si="76"/>
        <v>4000</v>
      </c>
      <c r="D202" s="30"/>
      <c r="E202" s="30"/>
      <c r="F202" s="30"/>
      <c r="G202" s="20">
        <v>2000</v>
      </c>
      <c r="H202" s="20">
        <v>2000</v>
      </c>
      <c r="I202" s="20"/>
      <c r="J202" s="20"/>
      <c r="K202" s="74"/>
    </row>
    <row r="203" spans="1:11" s="9" customFormat="1" ht="15" customHeight="1">
      <c r="A203" s="123" t="s">
        <v>218</v>
      </c>
      <c r="B203" s="11" t="s">
        <v>95</v>
      </c>
      <c r="C203" s="19">
        <f t="shared" si="76"/>
        <v>3000</v>
      </c>
      <c r="D203" s="30"/>
      <c r="E203" s="30"/>
      <c r="F203" s="30"/>
      <c r="G203" s="20">
        <v>2000</v>
      </c>
      <c r="H203" s="20">
        <v>1000</v>
      </c>
      <c r="I203" s="20"/>
      <c r="J203" s="20"/>
      <c r="K203" s="74"/>
    </row>
    <row r="204" spans="1:11" s="9" customFormat="1" ht="15" customHeight="1">
      <c r="A204" s="123" t="s">
        <v>219</v>
      </c>
      <c r="B204" s="11" t="s">
        <v>134</v>
      </c>
      <c r="C204" s="19">
        <f t="shared" si="76"/>
        <v>2000</v>
      </c>
      <c r="D204" s="30"/>
      <c r="E204" s="30"/>
      <c r="F204" s="30"/>
      <c r="G204" s="20"/>
      <c r="H204" s="20">
        <v>2000</v>
      </c>
      <c r="I204" s="20"/>
      <c r="J204" s="20"/>
      <c r="K204" s="74"/>
    </row>
    <row r="205" spans="1:11" s="9" customFormat="1" ht="15" customHeight="1">
      <c r="A205" s="123" t="s">
        <v>220</v>
      </c>
      <c r="B205" s="11" t="s">
        <v>30</v>
      </c>
      <c r="C205" s="19">
        <f t="shared" si="76"/>
        <v>5000</v>
      </c>
      <c r="D205" s="30"/>
      <c r="E205" s="30"/>
      <c r="F205" s="30"/>
      <c r="G205" s="20"/>
      <c r="H205" s="20"/>
      <c r="I205" s="20">
        <v>5000</v>
      </c>
      <c r="J205" s="20"/>
      <c r="K205" s="74"/>
    </row>
    <row r="206" spans="1:11" s="9" customFormat="1" ht="15" customHeight="1">
      <c r="A206" s="123" t="s">
        <v>221</v>
      </c>
      <c r="B206" s="11" t="s">
        <v>17</v>
      </c>
      <c r="C206" s="19">
        <f t="shared" si="76"/>
        <v>650</v>
      </c>
      <c r="D206" s="30">
        <v>650</v>
      </c>
      <c r="E206" s="30"/>
      <c r="F206" s="30"/>
      <c r="G206" s="20"/>
      <c r="H206" s="20"/>
      <c r="I206" s="20"/>
      <c r="J206" s="20"/>
      <c r="K206" s="74"/>
    </row>
    <row r="207" spans="1:11" s="8" customFormat="1" ht="32.25" customHeight="1">
      <c r="A207" s="107"/>
      <c r="B207" s="97" t="s">
        <v>145</v>
      </c>
      <c r="C207" s="19">
        <f>SUM(D207:J207)</f>
        <v>3255.2</v>
      </c>
      <c r="D207" s="36">
        <f aca="true" t="shared" si="77" ref="D207:J207">SUM(D208:D216)</f>
        <v>0</v>
      </c>
      <c r="E207" s="140">
        <f>SUM(E208:E216)</f>
        <v>1055.2</v>
      </c>
      <c r="F207" s="36">
        <f>SUM(F208:F216)</f>
        <v>1200</v>
      </c>
      <c r="G207" s="17">
        <f t="shared" si="77"/>
        <v>0</v>
      </c>
      <c r="H207" s="17">
        <f t="shared" si="77"/>
        <v>550</v>
      </c>
      <c r="I207" s="17">
        <f t="shared" si="77"/>
        <v>450</v>
      </c>
      <c r="J207" s="17">
        <f t="shared" si="77"/>
        <v>0</v>
      </c>
      <c r="K207" s="81"/>
    </row>
    <row r="208" spans="1:11" s="9" customFormat="1" ht="15" customHeight="1">
      <c r="A208" s="113" t="s">
        <v>222</v>
      </c>
      <c r="B208" s="12" t="s">
        <v>135</v>
      </c>
      <c r="C208" s="19">
        <f>SUM(D208:J208)</f>
        <v>800</v>
      </c>
      <c r="D208" s="30"/>
      <c r="E208" s="30">
        <f>1000-200</f>
        <v>800</v>
      </c>
      <c r="F208" s="30"/>
      <c r="G208" s="20"/>
      <c r="H208" s="20"/>
      <c r="I208" s="20"/>
      <c r="J208" s="20"/>
      <c r="K208" s="74"/>
    </row>
    <row r="209" spans="1:11" s="9" customFormat="1" ht="15" customHeight="1">
      <c r="A209" s="113" t="s">
        <v>223</v>
      </c>
      <c r="B209" s="12" t="s">
        <v>136</v>
      </c>
      <c r="C209" s="19">
        <f aca="true" t="shared" si="78" ref="C209:C216">SUM(D209:J209)</f>
        <v>850</v>
      </c>
      <c r="D209" s="30"/>
      <c r="E209" s="30"/>
      <c r="F209" s="30">
        <v>400</v>
      </c>
      <c r="G209" s="20"/>
      <c r="H209" s="20"/>
      <c r="I209" s="20">
        <v>450</v>
      </c>
      <c r="J209" s="20"/>
      <c r="K209" s="74"/>
    </row>
    <row r="210" spans="1:11" s="9" customFormat="1" ht="15" customHeight="1">
      <c r="A210" s="113" t="s">
        <v>224</v>
      </c>
      <c r="B210" s="12" t="s">
        <v>43</v>
      </c>
      <c r="C210" s="19">
        <f t="shared" si="78"/>
        <v>0</v>
      </c>
      <c r="D210" s="30"/>
      <c r="E210" s="30"/>
      <c r="F210" s="30"/>
      <c r="G210" s="20"/>
      <c r="H210" s="20"/>
      <c r="I210" s="20"/>
      <c r="J210" s="20"/>
      <c r="K210" s="74"/>
    </row>
    <row r="211" spans="1:11" s="9" customFormat="1" ht="15" customHeight="1">
      <c r="A211" s="113" t="s">
        <v>225</v>
      </c>
      <c r="B211" s="12" t="s">
        <v>137</v>
      </c>
      <c r="C211" s="19">
        <f t="shared" si="78"/>
        <v>0</v>
      </c>
      <c r="D211" s="30"/>
      <c r="E211" s="30"/>
      <c r="F211" s="30"/>
      <c r="G211" s="30"/>
      <c r="H211" s="30"/>
      <c r="I211" s="30"/>
      <c r="J211" s="20"/>
      <c r="K211" s="74"/>
    </row>
    <row r="212" spans="1:11" s="9" customFormat="1" ht="15" customHeight="1">
      <c r="A212" s="113" t="s">
        <v>226</v>
      </c>
      <c r="B212" s="94" t="s">
        <v>144</v>
      </c>
      <c r="C212" s="19">
        <f t="shared" si="78"/>
        <v>550</v>
      </c>
      <c r="D212" s="30"/>
      <c r="E212" s="30"/>
      <c r="F212" s="95"/>
      <c r="G212" s="30"/>
      <c r="H212" s="30">
        <f>550</f>
        <v>550</v>
      </c>
      <c r="I212" s="30"/>
      <c r="J212" s="20"/>
      <c r="K212" s="74"/>
    </row>
    <row r="213" spans="1:11" s="9" customFormat="1" ht="15" customHeight="1">
      <c r="A213" s="113" t="s">
        <v>227</v>
      </c>
      <c r="B213" s="12" t="s">
        <v>49</v>
      </c>
      <c r="C213" s="19">
        <f t="shared" si="78"/>
        <v>800</v>
      </c>
      <c r="D213" s="30"/>
      <c r="E213" s="30"/>
      <c r="F213" s="30">
        <v>800</v>
      </c>
      <c r="G213" s="30"/>
      <c r="H213" s="30"/>
      <c r="I213" s="30"/>
      <c r="J213" s="20"/>
      <c r="K213" s="74"/>
    </row>
    <row r="214" spans="1:11" s="9" customFormat="1" ht="15" customHeight="1">
      <c r="A214" s="113" t="s">
        <v>228</v>
      </c>
      <c r="B214" s="12" t="s">
        <v>97</v>
      </c>
      <c r="C214" s="19">
        <f t="shared" si="78"/>
        <v>255.2</v>
      </c>
      <c r="D214" s="30"/>
      <c r="E214" s="30">
        <f>550-110-184.8</f>
        <v>255.2</v>
      </c>
      <c r="F214" s="30"/>
      <c r="G214" s="30"/>
      <c r="H214" s="30"/>
      <c r="I214" s="30"/>
      <c r="J214" s="20"/>
      <c r="K214" s="74"/>
    </row>
    <row r="215" spans="1:11" s="9" customFormat="1" ht="15" customHeight="1">
      <c r="A215" s="113" t="s">
        <v>229</v>
      </c>
      <c r="B215" s="12" t="s">
        <v>98</v>
      </c>
      <c r="C215" s="19">
        <f t="shared" si="78"/>
        <v>0</v>
      </c>
      <c r="D215" s="30"/>
      <c r="E215" s="30"/>
      <c r="F215" s="30"/>
      <c r="G215" s="30"/>
      <c r="H215" s="30"/>
      <c r="I215" s="30"/>
      <c r="J215" s="20"/>
      <c r="K215" s="74"/>
    </row>
    <row r="216" spans="1:11" s="9" customFormat="1" ht="15" customHeight="1">
      <c r="A216" s="113" t="s">
        <v>230</v>
      </c>
      <c r="B216" s="12" t="s">
        <v>138</v>
      </c>
      <c r="C216" s="19">
        <f t="shared" si="78"/>
        <v>0</v>
      </c>
      <c r="D216" s="30"/>
      <c r="E216" s="30"/>
      <c r="F216" s="30"/>
      <c r="G216" s="30"/>
      <c r="H216" s="30">
        <f>550-550</f>
        <v>0</v>
      </c>
      <c r="I216" s="30"/>
      <c r="J216" s="20"/>
      <c r="K216" s="74"/>
    </row>
    <row r="217" spans="1:11" s="8" customFormat="1" ht="15.75">
      <c r="A217" s="111"/>
      <c r="B217" s="97" t="s">
        <v>364</v>
      </c>
      <c r="C217" s="19">
        <f>SUM(D217:J217)</f>
        <v>5177.653</v>
      </c>
      <c r="D217" s="36">
        <f>SUM(D218)</f>
        <v>0</v>
      </c>
      <c r="E217" s="140">
        <f aca="true" t="shared" si="79" ref="E217:J217">SUM(E218)</f>
        <v>2877.653</v>
      </c>
      <c r="F217" s="36">
        <f t="shared" si="79"/>
        <v>2300</v>
      </c>
      <c r="G217" s="36">
        <f t="shared" si="79"/>
        <v>0</v>
      </c>
      <c r="H217" s="36">
        <f t="shared" si="79"/>
        <v>0</v>
      </c>
      <c r="I217" s="36">
        <f t="shared" si="79"/>
        <v>0</v>
      </c>
      <c r="J217" s="17">
        <f t="shared" si="79"/>
        <v>0</v>
      </c>
      <c r="K217" s="81"/>
    </row>
    <row r="218" spans="1:11" s="9" customFormat="1" ht="15" customHeight="1">
      <c r="A218" s="113" t="s">
        <v>231</v>
      </c>
      <c r="B218" s="12" t="s">
        <v>43</v>
      </c>
      <c r="C218" s="19"/>
      <c r="D218" s="30"/>
      <c r="E218" s="148">
        <f>2800+77.653</f>
        <v>2877.653</v>
      </c>
      <c r="F218" s="30">
        <v>2300</v>
      </c>
      <c r="G218" s="30"/>
      <c r="H218" s="30"/>
      <c r="I218" s="30"/>
      <c r="J218" s="20"/>
      <c r="K218" s="74"/>
    </row>
    <row r="219" spans="1:11" s="9" customFormat="1" ht="15" customHeight="1">
      <c r="A219" s="104"/>
      <c r="B219" s="6"/>
      <c r="C219" s="19"/>
      <c r="D219" s="20"/>
      <c r="E219" s="20"/>
      <c r="F219" s="20"/>
      <c r="G219" s="20"/>
      <c r="H219" s="20"/>
      <c r="I219" s="20"/>
      <c r="J219" s="20"/>
      <c r="K219" s="74"/>
    </row>
    <row r="220" spans="1:11" s="8" customFormat="1" ht="63" customHeight="1">
      <c r="A220" s="116" t="s">
        <v>232</v>
      </c>
      <c r="B220" s="43" t="s">
        <v>391</v>
      </c>
      <c r="C220" s="17">
        <f>SUM(C221:C222)</f>
        <v>2096</v>
      </c>
      <c r="D220" s="17">
        <f>SUM(D221:D222)</f>
        <v>0</v>
      </c>
      <c r="E220" s="17">
        <f aca="true" t="shared" si="80" ref="E220:J220">SUM(E221:E222)</f>
        <v>2096</v>
      </c>
      <c r="F220" s="17">
        <f t="shared" si="80"/>
        <v>0</v>
      </c>
      <c r="G220" s="17">
        <f t="shared" si="80"/>
        <v>0</v>
      </c>
      <c r="H220" s="17">
        <f t="shared" si="80"/>
        <v>0</v>
      </c>
      <c r="I220" s="17">
        <f t="shared" si="80"/>
        <v>0</v>
      </c>
      <c r="J220" s="17">
        <f t="shared" si="80"/>
        <v>0</v>
      </c>
      <c r="K220" s="74" t="s">
        <v>51</v>
      </c>
    </row>
    <row r="221" spans="1:11" s="9" customFormat="1" ht="15" customHeight="1">
      <c r="A221" s="123" t="s">
        <v>233</v>
      </c>
      <c r="B221" s="11" t="s">
        <v>7</v>
      </c>
      <c r="C221" s="19">
        <f>SUM(D221:J221)</f>
        <v>700</v>
      </c>
      <c r="D221" s="20"/>
      <c r="E221" s="30">
        <v>700</v>
      </c>
      <c r="F221" s="20"/>
      <c r="G221" s="20"/>
      <c r="H221" s="20"/>
      <c r="I221" s="20"/>
      <c r="J221" s="20"/>
      <c r="K221" s="74"/>
    </row>
    <row r="222" spans="1:11" s="9" customFormat="1" ht="15" customHeight="1">
      <c r="A222" s="123" t="s">
        <v>234</v>
      </c>
      <c r="B222" s="11" t="s">
        <v>8</v>
      </c>
      <c r="C222" s="19">
        <f>SUM(D222:J222)</f>
        <v>1396</v>
      </c>
      <c r="D222" s="20"/>
      <c r="E222" s="30">
        <v>1396</v>
      </c>
      <c r="F222" s="20"/>
      <c r="G222" s="20"/>
      <c r="H222" s="20"/>
      <c r="I222" s="20"/>
      <c r="J222" s="20"/>
      <c r="K222" s="74"/>
    </row>
    <row r="223" spans="1:11" s="9" customFormat="1" ht="15" customHeight="1">
      <c r="A223" s="123" t="s">
        <v>235</v>
      </c>
      <c r="B223" s="13" t="s">
        <v>9</v>
      </c>
      <c r="C223" s="19">
        <f>SUM(D223:J223)</f>
        <v>598.4</v>
      </c>
      <c r="D223" s="20"/>
      <c r="E223" s="30">
        <v>598.4</v>
      </c>
      <c r="F223" s="20"/>
      <c r="G223" s="20"/>
      <c r="H223" s="20"/>
      <c r="I223" s="20"/>
      <c r="J223" s="20"/>
      <c r="K223" s="74"/>
    </row>
    <row r="224" spans="1:11" s="14" customFormat="1" ht="15" customHeight="1">
      <c r="A224" s="115"/>
      <c r="B224" s="13" t="s">
        <v>19</v>
      </c>
      <c r="C224" s="132"/>
      <c r="D224" s="21"/>
      <c r="E224" s="31"/>
      <c r="F224" s="21"/>
      <c r="G224" s="21"/>
      <c r="H224" s="21"/>
      <c r="I224" s="21"/>
      <c r="J224" s="21"/>
      <c r="K224" s="76"/>
    </row>
    <row r="225" spans="1:11" s="9" customFormat="1" ht="15" customHeight="1">
      <c r="A225" s="123" t="s">
        <v>236</v>
      </c>
      <c r="B225" s="11" t="s">
        <v>49</v>
      </c>
      <c r="C225" s="19">
        <f>SUM(D225:J225)</f>
        <v>1347.2</v>
      </c>
      <c r="D225" s="20"/>
      <c r="E225" s="30">
        <f>350+997.2</f>
        <v>1347.2</v>
      </c>
      <c r="F225" s="20"/>
      <c r="G225" s="20"/>
      <c r="H225" s="20"/>
      <c r="I225" s="20"/>
      <c r="J225" s="20"/>
      <c r="K225" s="74"/>
    </row>
    <row r="226" spans="1:11" s="9" customFormat="1" ht="15" customHeight="1">
      <c r="A226" s="123" t="s">
        <v>237</v>
      </c>
      <c r="B226" s="11" t="s">
        <v>31</v>
      </c>
      <c r="C226" s="19">
        <f>SUM(D226:J226)</f>
        <v>1347.2</v>
      </c>
      <c r="D226" s="20"/>
      <c r="E226" s="30">
        <f>350+997.2</f>
        <v>1347.2</v>
      </c>
      <c r="F226" s="20"/>
      <c r="G226" s="20"/>
      <c r="H226" s="20"/>
      <c r="I226" s="20"/>
      <c r="J226" s="20"/>
      <c r="K226" s="74"/>
    </row>
    <row r="227" spans="1:11" s="9" customFormat="1" ht="15" customHeight="1">
      <c r="A227" s="108"/>
      <c r="B227" s="11"/>
      <c r="C227" s="19"/>
      <c r="D227" s="20"/>
      <c r="E227" s="20"/>
      <c r="F227" s="20"/>
      <c r="G227" s="20"/>
      <c r="H227" s="20"/>
      <c r="I227" s="20"/>
      <c r="J227" s="20"/>
      <c r="K227" s="74"/>
    </row>
    <row r="228" spans="1:11" s="8" customFormat="1" ht="66" customHeight="1">
      <c r="A228" s="116" t="s">
        <v>238</v>
      </c>
      <c r="B228" s="39" t="s">
        <v>392</v>
      </c>
      <c r="C228" s="17">
        <f>SUM(C229)</f>
        <v>1383297</v>
      </c>
      <c r="D228" s="17">
        <f>SUM(D229)</f>
        <v>166082</v>
      </c>
      <c r="E228" s="17">
        <f aca="true" t="shared" si="81" ref="E228:J228">SUM(E229)</f>
        <v>175796</v>
      </c>
      <c r="F228" s="17">
        <f t="shared" si="81"/>
        <v>187882</v>
      </c>
      <c r="G228" s="17">
        <f t="shared" si="81"/>
        <v>188278</v>
      </c>
      <c r="H228" s="17">
        <f t="shared" si="81"/>
        <v>221753</v>
      </c>
      <c r="I228" s="17">
        <f t="shared" si="81"/>
        <v>221753</v>
      </c>
      <c r="J228" s="17">
        <f t="shared" si="81"/>
        <v>221753</v>
      </c>
      <c r="K228" s="74" t="s">
        <v>81</v>
      </c>
    </row>
    <row r="229" spans="1:11" s="9" customFormat="1" ht="15" customHeight="1">
      <c r="A229" s="123" t="s">
        <v>239</v>
      </c>
      <c r="B229" s="11" t="s">
        <v>9</v>
      </c>
      <c r="C229" s="19">
        <f>SUM(D229:J229)</f>
        <v>1383297</v>
      </c>
      <c r="D229" s="35">
        <f>176507-9304-1121</f>
        <v>166082</v>
      </c>
      <c r="E229" s="35">
        <f>189957-14161</f>
        <v>175796</v>
      </c>
      <c r="F229" s="35">
        <f>204737-16855</f>
        <v>187882</v>
      </c>
      <c r="G229" s="35">
        <f>221753-33475</f>
        <v>188278</v>
      </c>
      <c r="H229" s="35">
        <v>221753</v>
      </c>
      <c r="I229" s="35">
        <v>221753</v>
      </c>
      <c r="J229" s="35">
        <v>221753</v>
      </c>
      <c r="K229" s="74"/>
    </row>
    <row r="230" spans="1:11" s="9" customFormat="1" ht="15" customHeight="1">
      <c r="A230" s="108"/>
      <c r="B230" s="11"/>
      <c r="C230" s="19"/>
      <c r="D230" s="35"/>
      <c r="E230" s="35"/>
      <c r="F230" s="35"/>
      <c r="G230" s="35"/>
      <c r="H230" s="35"/>
      <c r="I230" s="35"/>
      <c r="J230" s="35"/>
      <c r="K230" s="74"/>
    </row>
    <row r="231" spans="1:11" s="8" customFormat="1" ht="84.75" customHeight="1">
      <c r="A231" s="107" t="s">
        <v>240</v>
      </c>
      <c r="B231" s="38" t="s">
        <v>397</v>
      </c>
      <c r="C231" s="17">
        <f aca="true" t="shared" si="82" ref="C231:J231">SUM(C232)</f>
        <v>670047.114</v>
      </c>
      <c r="D231" s="36">
        <f t="shared" si="82"/>
        <v>94139.79999999999</v>
      </c>
      <c r="E231" s="36">
        <f t="shared" si="82"/>
        <v>92123.914</v>
      </c>
      <c r="F231" s="36">
        <f t="shared" si="82"/>
        <v>48887</v>
      </c>
      <c r="G231" s="36">
        <f t="shared" si="82"/>
        <v>101221.4</v>
      </c>
      <c r="H231" s="36">
        <f t="shared" si="82"/>
        <v>111225</v>
      </c>
      <c r="I231" s="36">
        <f t="shared" si="82"/>
        <v>111225</v>
      </c>
      <c r="J231" s="36">
        <f t="shared" si="82"/>
        <v>111225</v>
      </c>
      <c r="K231" s="74" t="s">
        <v>82</v>
      </c>
    </row>
    <row r="232" spans="1:11" s="9" customFormat="1" ht="15" customHeight="1">
      <c r="A232" s="123" t="s">
        <v>241</v>
      </c>
      <c r="B232" s="13" t="s">
        <v>7</v>
      </c>
      <c r="C232" s="19">
        <f>SUM(D232:J232)</f>
        <v>670047.114</v>
      </c>
      <c r="D232" s="35">
        <f>91990.2+504.2+942.7+483.9+0.1+351.8-0.1-92.3+0.1-40.8</f>
        <v>94139.79999999999</v>
      </c>
      <c r="E232" s="99">
        <f>94122+200-996.9-482.3-0.1+0.012-718.798</f>
        <v>92123.914</v>
      </c>
      <c r="F232" s="95">
        <v>48887</v>
      </c>
      <c r="G232" s="95">
        <f>103054-1832.6</f>
        <v>101221.4</v>
      </c>
      <c r="H232" s="35">
        <v>111225</v>
      </c>
      <c r="I232" s="35">
        <v>111225</v>
      </c>
      <c r="J232" s="35">
        <v>111225</v>
      </c>
      <c r="K232" s="74"/>
    </row>
    <row r="233" spans="1:11" s="9" customFormat="1" ht="15" customHeight="1">
      <c r="A233" s="108"/>
      <c r="B233" s="13"/>
      <c r="C233" s="19"/>
      <c r="D233" s="34"/>
      <c r="E233" s="34"/>
      <c r="F233" s="34"/>
      <c r="G233" s="34"/>
      <c r="H233" s="34"/>
      <c r="I233" s="34"/>
      <c r="J233" s="34"/>
      <c r="K233" s="74"/>
    </row>
    <row r="234" spans="1:11" s="9" customFormat="1" ht="66.75" customHeight="1">
      <c r="A234" s="116" t="s">
        <v>242</v>
      </c>
      <c r="B234" s="44" t="s">
        <v>393</v>
      </c>
      <c r="C234" s="19">
        <f>SUM(C235+C239)</f>
        <v>264593.97000000003</v>
      </c>
      <c r="D234" s="41">
        <f>SUM(D235+D239)</f>
        <v>66531.40000000001</v>
      </c>
      <c r="E234" s="41">
        <f aca="true" t="shared" si="83" ref="E234:J234">SUM(E235+E239)</f>
        <v>29492.57</v>
      </c>
      <c r="F234" s="41">
        <f t="shared" si="83"/>
        <v>30904</v>
      </c>
      <c r="G234" s="41">
        <f t="shared" si="83"/>
        <v>34106</v>
      </c>
      <c r="H234" s="41">
        <f t="shared" si="83"/>
        <v>34520</v>
      </c>
      <c r="I234" s="41">
        <f t="shared" si="83"/>
        <v>34520</v>
      </c>
      <c r="J234" s="41">
        <f t="shared" si="83"/>
        <v>34520</v>
      </c>
      <c r="K234" s="74" t="s">
        <v>32</v>
      </c>
    </row>
    <row r="235" spans="1:11" s="9" customFormat="1" ht="15" customHeight="1">
      <c r="A235" s="123" t="s">
        <v>243</v>
      </c>
      <c r="B235" s="13" t="s">
        <v>7</v>
      </c>
      <c r="C235" s="19">
        <f>SUM(D235:J235)</f>
        <v>251896.57</v>
      </c>
      <c r="D235" s="35">
        <f>SUM(D237:D238)</f>
        <v>62334.00000000001</v>
      </c>
      <c r="E235" s="35">
        <f aca="true" t="shared" si="84" ref="E235:J235">SUM(E237:E238)</f>
        <v>29492.57</v>
      </c>
      <c r="F235" s="35">
        <f>SUM(F237:F238)</f>
        <v>29204</v>
      </c>
      <c r="G235" s="35">
        <f>SUM(G237:G238)</f>
        <v>32406</v>
      </c>
      <c r="H235" s="35">
        <f t="shared" si="84"/>
        <v>32820</v>
      </c>
      <c r="I235" s="35">
        <f t="shared" si="84"/>
        <v>32820</v>
      </c>
      <c r="J235" s="35">
        <f t="shared" si="84"/>
        <v>32820</v>
      </c>
      <c r="K235" s="74"/>
    </row>
    <row r="236" spans="1:11" s="14" customFormat="1" ht="15" customHeight="1">
      <c r="A236" s="115"/>
      <c r="B236" s="13" t="s">
        <v>22</v>
      </c>
      <c r="C236" s="132"/>
      <c r="D236" s="31"/>
      <c r="E236" s="31"/>
      <c r="F236" s="31"/>
      <c r="G236" s="31"/>
      <c r="H236" s="31"/>
      <c r="I236" s="31"/>
      <c r="J236" s="31"/>
      <c r="K236" s="76"/>
    </row>
    <row r="237" spans="1:11" s="9" customFormat="1" ht="26.25" customHeight="1">
      <c r="A237" s="123" t="s">
        <v>244</v>
      </c>
      <c r="B237" s="45" t="s">
        <v>21</v>
      </c>
      <c r="C237" s="19">
        <f>SUM(D237:J237)</f>
        <v>218872.97</v>
      </c>
      <c r="D237" s="35">
        <v>29310.4</v>
      </c>
      <c r="E237" s="35">
        <f>29445-213-39.43+300</f>
        <v>29492.57</v>
      </c>
      <c r="F237" s="35">
        <f>28404+800</f>
        <v>29204</v>
      </c>
      <c r="G237" s="35">
        <v>32406</v>
      </c>
      <c r="H237" s="35">
        <v>32820</v>
      </c>
      <c r="I237" s="35">
        <v>32820</v>
      </c>
      <c r="J237" s="35">
        <v>32820</v>
      </c>
      <c r="K237" s="74"/>
    </row>
    <row r="238" spans="1:11" s="9" customFormat="1" ht="48.75" customHeight="1">
      <c r="A238" s="123" t="s">
        <v>245</v>
      </c>
      <c r="B238" s="46" t="s">
        <v>18</v>
      </c>
      <c r="C238" s="19">
        <f>SUM(D238:J238)</f>
        <v>33023.600000000006</v>
      </c>
      <c r="D238" s="23">
        <f>33261.3-237.7</f>
        <v>33023.600000000006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74"/>
    </row>
    <row r="239" spans="1:11" s="9" customFormat="1" ht="15" customHeight="1">
      <c r="A239" s="123" t="s">
        <v>246</v>
      </c>
      <c r="B239" s="11" t="s">
        <v>10</v>
      </c>
      <c r="C239" s="19">
        <f>SUM(D239:J239)</f>
        <v>12697.4</v>
      </c>
      <c r="D239" s="23">
        <v>4197.4</v>
      </c>
      <c r="E239" s="23">
        <v>0</v>
      </c>
      <c r="F239" s="35">
        <v>1700</v>
      </c>
      <c r="G239" s="35">
        <v>1700</v>
      </c>
      <c r="H239" s="35">
        <v>1700</v>
      </c>
      <c r="I239" s="35">
        <v>1700</v>
      </c>
      <c r="J239" s="35">
        <v>1700</v>
      </c>
      <c r="K239" s="74"/>
    </row>
    <row r="240" spans="1:11" s="9" customFormat="1" ht="15" customHeight="1">
      <c r="A240" s="108"/>
      <c r="B240" s="11"/>
      <c r="C240" s="19"/>
      <c r="D240" s="22"/>
      <c r="E240" s="22"/>
      <c r="F240" s="22"/>
      <c r="G240" s="22"/>
      <c r="H240" s="22"/>
      <c r="I240" s="22"/>
      <c r="J240" s="22"/>
      <c r="K240" s="74"/>
    </row>
    <row r="241" spans="1:11" s="15" customFormat="1" ht="81.75" customHeight="1">
      <c r="A241" s="117" t="s">
        <v>247</v>
      </c>
      <c r="B241" s="47" t="s">
        <v>394</v>
      </c>
      <c r="C241" s="41">
        <f>SUM(D241:J241)</f>
        <v>3124.8</v>
      </c>
      <c r="D241" s="41">
        <f>SUM(D242)</f>
        <v>3124.8</v>
      </c>
      <c r="E241" s="41">
        <f aca="true" t="shared" si="85" ref="E241:J241">SUM(E242)</f>
        <v>0</v>
      </c>
      <c r="F241" s="41">
        <f t="shared" si="85"/>
        <v>0</v>
      </c>
      <c r="G241" s="41">
        <f t="shared" si="85"/>
        <v>0</v>
      </c>
      <c r="H241" s="41">
        <f t="shared" si="85"/>
        <v>0</v>
      </c>
      <c r="I241" s="41">
        <f t="shared" si="85"/>
        <v>0</v>
      </c>
      <c r="J241" s="41">
        <f t="shared" si="85"/>
        <v>0</v>
      </c>
      <c r="K241" s="78" t="s">
        <v>32</v>
      </c>
    </row>
    <row r="242" spans="1:11" s="15" customFormat="1" ht="15" customHeight="1">
      <c r="A242" s="113" t="s">
        <v>248</v>
      </c>
      <c r="B242" s="29" t="s">
        <v>9</v>
      </c>
      <c r="C242" s="41">
        <f>SUM(D242:J242)</f>
        <v>3124.8</v>
      </c>
      <c r="D242" s="35">
        <f>SUM(D244)</f>
        <v>3124.8</v>
      </c>
      <c r="E242" s="35">
        <f aca="true" t="shared" si="86" ref="E242:J242">SUM(E244)</f>
        <v>0</v>
      </c>
      <c r="F242" s="35">
        <f t="shared" si="86"/>
        <v>0</v>
      </c>
      <c r="G242" s="35">
        <f t="shared" si="86"/>
        <v>0</v>
      </c>
      <c r="H242" s="35">
        <f t="shared" si="86"/>
        <v>0</v>
      </c>
      <c r="I242" s="35">
        <f t="shared" si="86"/>
        <v>0</v>
      </c>
      <c r="J242" s="35">
        <f t="shared" si="86"/>
        <v>0</v>
      </c>
      <c r="K242" s="78"/>
    </row>
    <row r="243" spans="1:11" s="32" customFormat="1" ht="15" customHeight="1">
      <c r="A243" s="119"/>
      <c r="B243" s="29" t="s">
        <v>22</v>
      </c>
      <c r="C243" s="131"/>
      <c r="D243" s="31"/>
      <c r="E243" s="31"/>
      <c r="F243" s="31"/>
      <c r="G243" s="31"/>
      <c r="H243" s="31"/>
      <c r="I243" s="31"/>
      <c r="J243" s="31"/>
      <c r="K243" s="79"/>
    </row>
    <row r="244" spans="1:11" s="15" customFormat="1" ht="48" customHeight="1">
      <c r="A244" s="113" t="s">
        <v>249</v>
      </c>
      <c r="B244" s="68" t="s">
        <v>18</v>
      </c>
      <c r="C244" s="41">
        <f>SUM(D244:J244)</f>
        <v>3124.8</v>
      </c>
      <c r="D244" s="35">
        <v>3124.8</v>
      </c>
      <c r="E244" s="35"/>
      <c r="F244" s="35"/>
      <c r="G244" s="35"/>
      <c r="H244" s="35"/>
      <c r="I244" s="35"/>
      <c r="J244" s="35"/>
      <c r="K244" s="78"/>
    </row>
    <row r="245" spans="1:11" s="15" customFormat="1" ht="15.75">
      <c r="A245" s="112"/>
      <c r="B245" s="68"/>
      <c r="C245" s="41"/>
      <c r="D245" s="35"/>
      <c r="E245" s="35"/>
      <c r="F245" s="35"/>
      <c r="G245" s="35"/>
      <c r="H245" s="35"/>
      <c r="I245" s="35"/>
      <c r="J245" s="35"/>
      <c r="K245" s="78"/>
    </row>
    <row r="246" spans="1:11" s="15" customFormat="1" ht="63.75" customHeight="1">
      <c r="A246" s="107" t="s">
        <v>250</v>
      </c>
      <c r="B246" s="44" t="s">
        <v>395</v>
      </c>
      <c r="C246" s="17">
        <f aca="true" t="shared" si="87" ref="C246:J246">SUM(C247)</f>
        <v>25528</v>
      </c>
      <c r="D246" s="36">
        <f t="shared" si="87"/>
        <v>25528</v>
      </c>
      <c r="E246" s="36">
        <f t="shared" si="87"/>
        <v>0</v>
      </c>
      <c r="F246" s="36">
        <f t="shared" si="87"/>
        <v>0</v>
      </c>
      <c r="G246" s="36">
        <f t="shared" si="87"/>
        <v>0</v>
      </c>
      <c r="H246" s="36">
        <f t="shared" si="87"/>
        <v>0</v>
      </c>
      <c r="I246" s="36">
        <f t="shared" si="87"/>
        <v>0</v>
      </c>
      <c r="J246" s="36">
        <f t="shared" si="87"/>
        <v>0</v>
      </c>
      <c r="K246" s="74" t="s">
        <v>110</v>
      </c>
    </row>
    <row r="247" spans="1:11" s="15" customFormat="1" ht="16.5" customHeight="1">
      <c r="A247" s="123" t="s">
        <v>251</v>
      </c>
      <c r="B247" s="11" t="s">
        <v>9</v>
      </c>
      <c r="C247" s="19">
        <f>SUM(D247:J247)</f>
        <v>25528</v>
      </c>
      <c r="D247" s="35">
        <f>27460-1932</f>
        <v>25528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74"/>
    </row>
    <row r="248" spans="1:11" s="15" customFormat="1" ht="16.5" customHeight="1">
      <c r="A248" s="108"/>
      <c r="B248" s="11"/>
      <c r="C248" s="19"/>
      <c r="D248" s="35"/>
      <c r="E248" s="35"/>
      <c r="F248" s="35"/>
      <c r="G248" s="35"/>
      <c r="H248" s="35"/>
      <c r="I248" s="35"/>
      <c r="J248" s="35"/>
      <c r="K248" s="74"/>
    </row>
    <row r="249" spans="1:11" s="9" customFormat="1" ht="66.75" customHeight="1">
      <c r="A249" s="107" t="s">
        <v>252</v>
      </c>
      <c r="B249" s="47" t="s">
        <v>396</v>
      </c>
      <c r="C249" s="36">
        <f>SUM(D249:J249)</f>
        <v>2863.951</v>
      </c>
      <c r="D249" s="36">
        <f>SUM(D250:D252)</f>
        <v>1155.7</v>
      </c>
      <c r="E249" s="140">
        <f aca="true" t="shared" si="88" ref="E249:J249">SUM(E250:E252)</f>
        <v>1708.2510000000002</v>
      </c>
      <c r="F249" s="36">
        <f t="shared" si="88"/>
        <v>0</v>
      </c>
      <c r="G249" s="36">
        <f t="shared" si="88"/>
        <v>0</v>
      </c>
      <c r="H249" s="36">
        <f t="shared" si="88"/>
        <v>0</v>
      </c>
      <c r="I249" s="36">
        <f t="shared" si="88"/>
        <v>0</v>
      </c>
      <c r="J249" s="36">
        <f t="shared" si="88"/>
        <v>0</v>
      </c>
      <c r="K249" s="78" t="s">
        <v>80</v>
      </c>
    </row>
    <row r="250" spans="1:11" s="9" customFormat="1" ht="15" customHeight="1">
      <c r="A250" s="123" t="s">
        <v>253</v>
      </c>
      <c r="B250" s="33" t="s">
        <v>7</v>
      </c>
      <c r="C250" s="41">
        <f>SUM(D250:J250)</f>
        <v>150</v>
      </c>
      <c r="D250" s="36">
        <f>SUM(D254)</f>
        <v>0</v>
      </c>
      <c r="E250" s="36">
        <f aca="true" t="shared" si="89" ref="E250:J250">SUM(E254)</f>
        <v>150</v>
      </c>
      <c r="F250" s="36">
        <f t="shared" si="89"/>
        <v>0</v>
      </c>
      <c r="G250" s="36">
        <f t="shared" si="89"/>
        <v>0</v>
      </c>
      <c r="H250" s="36">
        <f t="shared" si="89"/>
        <v>0</v>
      </c>
      <c r="I250" s="36">
        <f t="shared" si="89"/>
        <v>0</v>
      </c>
      <c r="J250" s="36">
        <f t="shared" si="89"/>
        <v>0</v>
      </c>
      <c r="K250" s="78"/>
    </row>
    <row r="251" spans="1:11" s="9" customFormat="1" ht="15" customHeight="1">
      <c r="A251" s="123" t="s">
        <v>254</v>
      </c>
      <c r="B251" s="33" t="s">
        <v>9</v>
      </c>
      <c r="C251" s="41">
        <f aca="true" t="shared" si="90" ref="C251:C258">SUM(D251:J251)</f>
        <v>512.82</v>
      </c>
      <c r="D251" s="36">
        <f>SUM(D255)</f>
        <v>0</v>
      </c>
      <c r="E251" s="140">
        <f aca="true" t="shared" si="91" ref="E251:J251">SUM(E255)</f>
        <v>512.82</v>
      </c>
      <c r="F251" s="36">
        <f t="shared" si="91"/>
        <v>0</v>
      </c>
      <c r="G251" s="36">
        <f t="shared" si="91"/>
        <v>0</v>
      </c>
      <c r="H251" s="36">
        <f t="shared" si="91"/>
        <v>0</v>
      </c>
      <c r="I251" s="36">
        <f t="shared" si="91"/>
        <v>0</v>
      </c>
      <c r="J251" s="36">
        <f t="shared" si="91"/>
        <v>0</v>
      </c>
      <c r="K251" s="78"/>
    </row>
    <row r="252" spans="1:11" s="9" customFormat="1" ht="15" customHeight="1">
      <c r="A252" s="123" t="s">
        <v>255</v>
      </c>
      <c r="B252" s="33" t="s">
        <v>8</v>
      </c>
      <c r="C252" s="41">
        <f t="shared" si="90"/>
        <v>2201.1310000000003</v>
      </c>
      <c r="D252" s="36">
        <f aca="true" t="shared" si="92" ref="D252:J252">SUM(D256+D258)</f>
        <v>1155.7</v>
      </c>
      <c r="E252" s="140">
        <f t="shared" si="92"/>
        <v>1045.431</v>
      </c>
      <c r="F252" s="36">
        <f t="shared" si="92"/>
        <v>0</v>
      </c>
      <c r="G252" s="36">
        <f t="shared" si="92"/>
        <v>0</v>
      </c>
      <c r="H252" s="36">
        <f t="shared" si="92"/>
        <v>0</v>
      </c>
      <c r="I252" s="36">
        <f t="shared" si="92"/>
        <v>0</v>
      </c>
      <c r="J252" s="36">
        <f t="shared" si="92"/>
        <v>0</v>
      </c>
      <c r="K252" s="78"/>
    </row>
    <row r="253" spans="1:11" s="9" customFormat="1" ht="15" customHeight="1">
      <c r="A253" s="104"/>
      <c r="B253" s="97" t="s">
        <v>148</v>
      </c>
      <c r="C253" s="36"/>
      <c r="D253" s="35"/>
      <c r="E253" s="35"/>
      <c r="F253" s="35"/>
      <c r="G253" s="35"/>
      <c r="H253" s="35"/>
      <c r="I253" s="35"/>
      <c r="J253" s="35"/>
      <c r="K253" s="78"/>
    </row>
    <row r="254" spans="1:11" s="9" customFormat="1" ht="15" customHeight="1">
      <c r="A254" s="124" t="s">
        <v>256</v>
      </c>
      <c r="B254" s="33" t="s">
        <v>7</v>
      </c>
      <c r="C254" s="41">
        <f t="shared" si="90"/>
        <v>150</v>
      </c>
      <c r="D254" s="35"/>
      <c r="E254" s="35">
        <v>150</v>
      </c>
      <c r="F254" s="35"/>
      <c r="G254" s="35"/>
      <c r="H254" s="35"/>
      <c r="I254" s="35"/>
      <c r="J254" s="35"/>
      <c r="K254" s="78"/>
    </row>
    <row r="255" spans="1:12" s="9" customFormat="1" ht="15" customHeight="1">
      <c r="A255" s="124" t="s">
        <v>257</v>
      </c>
      <c r="B255" s="33" t="s">
        <v>9</v>
      </c>
      <c r="C255" s="41">
        <f t="shared" si="90"/>
        <v>512.82</v>
      </c>
      <c r="D255" s="35"/>
      <c r="E255" s="99">
        <v>512.82</v>
      </c>
      <c r="F255" s="35"/>
      <c r="G255" s="35"/>
      <c r="H255" s="35"/>
      <c r="I255" s="35"/>
      <c r="J255" s="35"/>
      <c r="K255" s="78"/>
      <c r="L255" s="136">
        <v>0.82</v>
      </c>
    </row>
    <row r="256" spans="1:12" s="9" customFormat="1" ht="15" customHeight="1">
      <c r="A256" s="124" t="s">
        <v>258</v>
      </c>
      <c r="B256" s="33" t="s">
        <v>8</v>
      </c>
      <c r="C256" s="41">
        <f t="shared" si="90"/>
        <v>1701.131</v>
      </c>
      <c r="D256" s="35">
        <v>1155.7</v>
      </c>
      <c r="E256" s="99">
        <v>545.431</v>
      </c>
      <c r="F256" s="35"/>
      <c r="G256" s="35"/>
      <c r="H256" s="35"/>
      <c r="I256" s="35"/>
      <c r="J256" s="35"/>
      <c r="K256" s="78"/>
      <c r="L256" s="136">
        <v>0.431</v>
      </c>
    </row>
    <row r="257" spans="1:11" s="9" customFormat="1" ht="15" customHeight="1">
      <c r="A257" s="104"/>
      <c r="B257" s="97" t="s">
        <v>149</v>
      </c>
      <c r="C257" s="36"/>
      <c r="D257" s="35"/>
      <c r="E257" s="99"/>
      <c r="F257" s="35"/>
      <c r="G257" s="35"/>
      <c r="H257" s="35"/>
      <c r="I257" s="35"/>
      <c r="J257" s="35"/>
      <c r="K257" s="78"/>
    </row>
    <row r="258" spans="1:11" s="9" customFormat="1" ht="15" customHeight="1">
      <c r="A258" s="124" t="s">
        <v>259</v>
      </c>
      <c r="B258" s="33" t="s">
        <v>8</v>
      </c>
      <c r="C258" s="41">
        <f t="shared" si="90"/>
        <v>500</v>
      </c>
      <c r="D258" s="35"/>
      <c r="E258" s="35">
        <v>500</v>
      </c>
      <c r="F258" s="35"/>
      <c r="G258" s="35"/>
      <c r="H258" s="35"/>
      <c r="I258" s="35"/>
      <c r="J258" s="35"/>
      <c r="K258" s="78"/>
    </row>
    <row r="259" spans="1:11" s="9" customFormat="1" ht="15" customHeight="1">
      <c r="A259" s="124"/>
      <c r="B259" s="33"/>
      <c r="C259" s="41"/>
      <c r="D259" s="35"/>
      <c r="E259" s="35"/>
      <c r="F259" s="35"/>
      <c r="G259" s="35"/>
      <c r="H259" s="35"/>
      <c r="I259" s="35"/>
      <c r="J259" s="35"/>
      <c r="K259" s="78"/>
    </row>
    <row r="260" spans="1:11" s="8" customFormat="1" ht="15" customHeight="1">
      <c r="A260" s="106"/>
      <c r="B260" s="176" t="s">
        <v>1</v>
      </c>
      <c r="C260" s="177"/>
      <c r="D260" s="177"/>
      <c r="E260" s="177"/>
      <c r="F260" s="177"/>
      <c r="G260" s="177"/>
      <c r="H260" s="177"/>
      <c r="I260" s="177"/>
      <c r="J260" s="177"/>
      <c r="K260" s="178"/>
    </row>
    <row r="261" spans="1:11" s="9" customFormat="1" ht="15.75">
      <c r="A261" s="107" t="s">
        <v>260</v>
      </c>
      <c r="B261" s="44" t="s">
        <v>56</v>
      </c>
      <c r="C261" s="19">
        <f>SUM(C262:C263)</f>
        <v>94369.3</v>
      </c>
      <c r="D261" s="17">
        <f>SUM(D262:D263)</f>
        <v>3619.2999999999997</v>
      </c>
      <c r="E261" s="17">
        <f aca="true" t="shared" si="93" ref="E261:J261">SUM(E262:E263)</f>
        <v>7500</v>
      </c>
      <c r="F261" s="17">
        <f t="shared" si="93"/>
        <v>15000</v>
      </c>
      <c r="G261" s="17">
        <f t="shared" si="93"/>
        <v>15050</v>
      </c>
      <c r="H261" s="36">
        <f t="shared" si="93"/>
        <v>20300</v>
      </c>
      <c r="I261" s="17">
        <f t="shared" si="93"/>
        <v>16450</v>
      </c>
      <c r="J261" s="17">
        <f t="shared" si="93"/>
        <v>16450</v>
      </c>
      <c r="K261" s="80"/>
    </row>
    <row r="262" spans="1:11" s="9" customFormat="1" ht="15" customHeight="1">
      <c r="A262" s="123" t="s">
        <v>261</v>
      </c>
      <c r="B262" s="11" t="s">
        <v>7</v>
      </c>
      <c r="C262" s="19">
        <f>SUM(D262:J262)</f>
        <v>94369.3</v>
      </c>
      <c r="D262" s="16">
        <f aca="true" t="shared" si="94" ref="D262:J262">SUM(D267+D281)</f>
        <v>3619.2999999999997</v>
      </c>
      <c r="E262" s="16">
        <f t="shared" si="94"/>
        <v>7500</v>
      </c>
      <c r="F262" s="155">
        <f t="shared" si="94"/>
        <v>15000</v>
      </c>
      <c r="G262" s="16">
        <f t="shared" si="94"/>
        <v>15050</v>
      </c>
      <c r="H262" s="16">
        <f t="shared" si="94"/>
        <v>20300</v>
      </c>
      <c r="I262" s="16">
        <f t="shared" si="94"/>
        <v>16450</v>
      </c>
      <c r="J262" s="16">
        <f t="shared" si="94"/>
        <v>16450</v>
      </c>
      <c r="K262" s="74"/>
    </row>
    <row r="263" spans="1:11" s="9" customFormat="1" ht="15" customHeight="1">
      <c r="A263" s="123" t="s">
        <v>262</v>
      </c>
      <c r="B263" s="11" t="s">
        <v>9</v>
      </c>
      <c r="C263" s="19">
        <f>SUM(D263:J263)</f>
        <v>0</v>
      </c>
      <c r="D263" s="16">
        <f>SUM(D268)</f>
        <v>0</v>
      </c>
      <c r="E263" s="16">
        <f aca="true" t="shared" si="95" ref="E263:J263">SUM(E268)</f>
        <v>0</v>
      </c>
      <c r="F263" s="16">
        <f t="shared" si="95"/>
        <v>0</v>
      </c>
      <c r="G263" s="16">
        <f t="shared" si="95"/>
        <v>0</v>
      </c>
      <c r="H263" s="16">
        <f t="shared" si="95"/>
        <v>0</v>
      </c>
      <c r="I263" s="16">
        <f t="shared" si="95"/>
        <v>0</v>
      </c>
      <c r="J263" s="16">
        <f t="shared" si="95"/>
        <v>0</v>
      </c>
      <c r="K263" s="74"/>
    </row>
    <row r="264" spans="1:11" s="9" customFormat="1" ht="15" customHeight="1">
      <c r="A264" s="104"/>
      <c r="B264" s="6"/>
      <c r="C264" s="133"/>
      <c r="D264" s="7"/>
      <c r="E264" s="7"/>
      <c r="F264" s="7"/>
      <c r="G264" s="7"/>
      <c r="H264" s="7"/>
      <c r="I264" s="7"/>
      <c r="J264" s="7"/>
      <c r="K264" s="74"/>
    </row>
    <row r="265" spans="1:11" s="9" customFormat="1" ht="15" customHeight="1">
      <c r="A265" s="109"/>
      <c r="B265" s="173" t="s">
        <v>11</v>
      </c>
      <c r="C265" s="174"/>
      <c r="D265" s="174"/>
      <c r="E265" s="174"/>
      <c r="F265" s="174"/>
      <c r="G265" s="174"/>
      <c r="H265" s="174"/>
      <c r="I265" s="174"/>
      <c r="J265" s="174"/>
      <c r="K265" s="175"/>
    </row>
    <row r="266" spans="1:11" s="9" customFormat="1" ht="34.5" customHeight="1">
      <c r="A266" s="107" t="s">
        <v>263</v>
      </c>
      <c r="B266" s="44" t="s">
        <v>52</v>
      </c>
      <c r="C266" s="19">
        <f aca="true" t="shared" si="96" ref="C266:J266">SUM(C267:C268)</f>
        <v>93606.7</v>
      </c>
      <c r="D266" s="36">
        <f t="shared" si="96"/>
        <v>3606.7</v>
      </c>
      <c r="E266" s="36">
        <f t="shared" si="96"/>
        <v>7500</v>
      </c>
      <c r="F266" s="36">
        <f t="shared" si="96"/>
        <v>15000</v>
      </c>
      <c r="G266" s="36">
        <f t="shared" si="96"/>
        <v>15000</v>
      </c>
      <c r="H266" s="36">
        <f t="shared" si="96"/>
        <v>20000</v>
      </c>
      <c r="I266" s="36">
        <f t="shared" si="96"/>
        <v>16250</v>
      </c>
      <c r="J266" s="36">
        <f t="shared" si="96"/>
        <v>16250</v>
      </c>
      <c r="K266" s="74"/>
    </row>
    <row r="267" spans="1:11" s="9" customFormat="1" ht="15" customHeight="1">
      <c r="A267" s="123" t="s">
        <v>264</v>
      </c>
      <c r="B267" s="11" t="s">
        <v>7</v>
      </c>
      <c r="C267" s="19">
        <f>SUM(D267:J267)</f>
        <v>93606.7</v>
      </c>
      <c r="D267" s="53">
        <f>SUM(D272)</f>
        <v>3606.7</v>
      </c>
      <c r="E267" s="53">
        <f aca="true" t="shared" si="97" ref="E267:J267">SUM(E272)</f>
        <v>7500</v>
      </c>
      <c r="F267" s="53">
        <f t="shared" si="97"/>
        <v>15000</v>
      </c>
      <c r="G267" s="53">
        <f t="shared" si="97"/>
        <v>15000</v>
      </c>
      <c r="H267" s="53">
        <f t="shared" si="97"/>
        <v>20000</v>
      </c>
      <c r="I267" s="53">
        <f t="shared" si="97"/>
        <v>16250</v>
      </c>
      <c r="J267" s="53">
        <f t="shared" si="97"/>
        <v>16250</v>
      </c>
      <c r="K267" s="74"/>
    </row>
    <row r="268" spans="1:11" s="9" customFormat="1" ht="15" customHeight="1">
      <c r="A268" s="113" t="s">
        <v>265</v>
      </c>
      <c r="B268" s="11" t="s">
        <v>9</v>
      </c>
      <c r="C268" s="19">
        <f>SUM(D268:J268)</f>
        <v>0</v>
      </c>
      <c r="D268" s="16">
        <f>SUM(D273)</f>
        <v>0</v>
      </c>
      <c r="E268" s="16">
        <f aca="true" t="shared" si="98" ref="E268:J268">SUM(E273)</f>
        <v>0</v>
      </c>
      <c r="F268" s="16">
        <f t="shared" si="98"/>
        <v>0</v>
      </c>
      <c r="G268" s="16">
        <f t="shared" si="98"/>
        <v>0</v>
      </c>
      <c r="H268" s="16">
        <f t="shared" si="98"/>
        <v>0</v>
      </c>
      <c r="I268" s="16">
        <f t="shared" si="98"/>
        <v>0</v>
      </c>
      <c r="J268" s="16">
        <f t="shared" si="98"/>
        <v>0</v>
      </c>
      <c r="K268" s="74"/>
    </row>
    <row r="269" spans="1:11" s="9" customFormat="1" ht="15" customHeight="1">
      <c r="A269" s="104"/>
      <c r="B269" s="10"/>
      <c r="C269" s="17"/>
      <c r="D269" s="16"/>
      <c r="E269" s="16"/>
      <c r="F269" s="16"/>
      <c r="G269" s="16"/>
      <c r="H269" s="16"/>
      <c r="I269" s="16"/>
      <c r="J269" s="16"/>
      <c r="K269" s="74"/>
    </row>
    <row r="270" spans="1:11" s="9" customFormat="1" ht="15" customHeight="1">
      <c r="A270" s="110"/>
      <c r="B270" s="170" t="s">
        <v>23</v>
      </c>
      <c r="C270" s="171"/>
      <c r="D270" s="171"/>
      <c r="E270" s="171"/>
      <c r="F270" s="171"/>
      <c r="G270" s="171"/>
      <c r="H270" s="171"/>
      <c r="I270" s="171"/>
      <c r="J270" s="171"/>
      <c r="K270" s="172"/>
    </row>
    <row r="271" spans="1:11" s="42" customFormat="1" ht="31.5">
      <c r="A271" s="111" t="s">
        <v>266</v>
      </c>
      <c r="B271" s="47" t="s">
        <v>345</v>
      </c>
      <c r="C271" s="41">
        <f>SUM(D271:J271)</f>
        <v>93606.7</v>
      </c>
      <c r="D271" s="36">
        <f>SUM(D272:D273)</f>
        <v>3606.7</v>
      </c>
      <c r="E271" s="36">
        <f aca="true" t="shared" si="99" ref="E271:J271">SUM(E272:E273)</f>
        <v>7500</v>
      </c>
      <c r="F271" s="36">
        <f t="shared" si="99"/>
        <v>15000</v>
      </c>
      <c r="G271" s="36">
        <f t="shared" si="99"/>
        <v>15000</v>
      </c>
      <c r="H271" s="36">
        <f t="shared" si="99"/>
        <v>20000</v>
      </c>
      <c r="I271" s="36">
        <f t="shared" si="99"/>
        <v>16250</v>
      </c>
      <c r="J271" s="36">
        <f t="shared" si="99"/>
        <v>16250</v>
      </c>
      <c r="K271" s="77"/>
    </row>
    <row r="272" spans="1:11" s="15" customFormat="1" ht="15" customHeight="1">
      <c r="A272" s="113" t="s">
        <v>267</v>
      </c>
      <c r="B272" s="11" t="s">
        <v>7</v>
      </c>
      <c r="C272" s="19">
        <f>SUM(D272:J272)</f>
        <v>93606.7</v>
      </c>
      <c r="D272" s="53">
        <f>D276</f>
        <v>3606.7</v>
      </c>
      <c r="E272" s="53">
        <f aca="true" t="shared" si="100" ref="E272:J272">E276</f>
        <v>7500</v>
      </c>
      <c r="F272" s="53">
        <f t="shared" si="100"/>
        <v>15000</v>
      </c>
      <c r="G272" s="53">
        <f t="shared" si="100"/>
        <v>15000</v>
      </c>
      <c r="H272" s="53">
        <f t="shared" si="100"/>
        <v>20000</v>
      </c>
      <c r="I272" s="53">
        <f t="shared" si="100"/>
        <v>16250</v>
      </c>
      <c r="J272" s="53">
        <f t="shared" si="100"/>
        <v>16250</v>
      </c>
      <c r="K272" s="78"/>
    </row>
    <row r="273" spans="1:11" s="9" customFormat="1" ht="15" customHeight="1">
      <c r="A273" s="113" t="s">
        <v>268</v>
      </c>
      <c r="B273" s="11" t="s">
        <v>9</v>
      </c>
      <c r="C273" s="19">
        <f>SUM(D273:J273)</f>
        <v>0</v>
      </c>
      <c r="D273" s="16">
        <f>D277</f>
        <v>0</v>
      </c>
      <c r="E273" s="16">
        <f aca="true" t="shared" si="101" ref="E273:J273">E277</f>
        <v>0</v>
      </c>
      <c r="F273" s="16">
        <f t="shared" si="101"/>
        <v>0</v>
      </c>
      <c r="G273" s="16">
        <f t="shared" si="101"/>
        <v>0</v>
      </c>
      <c r="H273" s="16">
        <f t="shared" si="101"/>
        <v>0</v>
      </c>
      <c r="I273" s="16">
        <f t="shared" si="101"/>
        <v>0</v>
      </c>
      <c r="J273" s="16">
        <f t="shared" si="101"/>
        <v>0</v>
      </c>
      <c r="K273" s="74"/>
    </row>
    <row r="274" spans="1:11" s="9" customFormat="1" ht="15" customHeight="1">
      <c r="A274" s="113"/>
      <c r="B274" s="12"/>
      <c r="C274" s="19"/>
      <c r="D274" s="16"/>
      <c r="E274" s="16"/>
      <c r="F274" s="16"/>
      <c r="G274" s="16"/>
      <c r="H274" s="16"/>
      <c r="I274" s="16"/>
      <c r="J274" s="16"/>
      <c r="K274" s="74"/>
    </row>
    <row r="275" spans="1:11" s="9" customFormat="1" ht="63" customHeight="1">
      <c r="A275" s="113" t="s">
        <v>269</v>
      </c>
      <c r="B275" s="44" t="s">
        <v>344</v>
      </c>
      <c r="C275" s="41">
        <f>SUM(D275:J275)</f>
        <v>93606.7</v>
      </c>
      <c r="D275" s="36">
        <f>SUM(D276:D277)</f>
        <v>3606.7</v>
      </c>
      <c r="E275" s="36">
        <f aca="true" t="shared" si="102" ref="E275:J275">SUM(E276:E277)</f>
        <v>7500</v>
      </c>
      <c r="F275" s="36">
        <f t="shared" si="102"/>
        <v>15000</v>
      </c>
      <c r="G275" s="36">
        <f t="shared" si="102"/>
        <v>15000</v>
      </c>
      <c r="H275" s="36">
        <f t="shared" si="102"/>
        <v>20000</v>
      </c>
      <c r="I275" s="36">
        <f t="shared" si="102"/>
        <v>16250</v>
      </c>
      <c r="J275" s="36">
        <f t="shared" si="102"/>
        <v>16250</v>
      </c>
      <c r="K275" s="74"/>
    </row>
    <row r="276" spans="1:11" s="9" customFormat="1" ht="15" customHeight="1">
      <c r="A276" s="113" t="s">
        <v>270</v>
      </c>
      <c r="B276" s="11" t="s">
        <v>7</v>
      </c>
      <c r="C276" s="19">
        <f>SUM(D276:J276)</f>
        <v>93606.7</v>
      </c>
      <c r="D276" s="53">
        <v>3606.7</v>
      </c>
      <c r="E276" s="53">
        <f>15000-3000-5000+500</f>
        <v>7500</v>
      </c>
      <c r="F276" s="53">
        <v>15000</v>
      </c>
      <c r="G276" s="53">
        <v>15000</v>
      </c>
      <c r="H276" s="53">
        <v>20000</v>
      </c>
      <c r="I276" s="53">
        <v>16250</v>
      </c>
      <c r="J276" s="53">
        <v>16250</v>
      </c>
      <c r="K276" s="74"/>
    </row>
    <row r="277" spans="1:11" s="9" customFormat="1" ht="15" customHeight="1">
      <c r="A277" s="113" t="s">
        <v>271</v>
      </c>
      <c r="B277" s="11" t="s">
        <v>9</v>
      </c>
      <c r="C277" s="19">
        <f>SUM(D277:J277)</f>
        <v>0</v>
      </c>
      <c r="D277" s="16"/>
      <c r="E277" s="16"/>
      <c r="F277" s="16"/>
      <c r="G277" s="16"/>
      <c r="H277" s="16"/>
      <c r="I277" s="16"/>
      <c r="J277" s="16"/>
      <c r="K277" s="74"/>
    </row>
    <row r="278" spans="1:11" s="9" customFormat="1" ht="15" customHeight="1">
      <c r="A278" s="104"/>
      <c r="B278" s="10"/>
      <c r="C278" s="17"/>
      <c r="D278" s="16"/>
      <c r="E278" s="16"/>
      <c r="F278" s="16"/>
      <c r="G278" s="16"/>
      <c r="H278" s="16"/>
      <c r="I278" s="16"/>
      <c r="J278" s="16"/>
      <c r="K278" s="74"/>
    </row>
    <row r="279" spans="1:11" s="9" customFormat="1" ht="15" customHeight="1">
      <c r="A279" s="109"/>
      <c r="B279" s="173" t="s">
        <v>15</v>
      </c>
      <c r="C279" s="174"/>
      <c r="D279" s="174"/>
      <c r="E279" s="174"/>
      <c r="F279" s="174"/>
      <c r="G279" s="174"/>
      <c r="H279" s="174"/>
      <c r="I279" s="174"/>
      <c r="J279" s="174"/>
      <c r="K279" s="175"/>
    </row>
    <row r="280" spans="1:11" s="9" customFormat="1" ht="31.5">
      <c r="A280" s="107" t="s">
        <v>272</v>
      </c>
      <c r="B280" s="44" t="s">
        <v>16</v>
      </c>
      <c r="C280" s="19">
        <f>SUM(C281)</f>
        <v>762.6</v>
      </c>
      <c r="D280" s="17">
        <f>SUM(D281:D281)</f>
        <v>12.600000000000009</v>
      </c>
      <c r="E280" s="17">
        <f aca="true" t="shared" si="103" ref="E280:J280">SUM(E281:E281)</f>
        <v>0</v>
      </c>
      <c r="F280" s="17">
        <f t="shared" si="103"/>
        <v>0</v>
      </c>
      <c r="G280" s="17">
        <f t="shared" si="103"/>
        <v>50</v>
      </c>
      <c r="H280" s="17">
        <f t="shared" si="103"/>
        <v>300</v>
      </c>
      <c r="I280" s="17">
        <f t="shared" si="103"/>
        <v>200</v>
      </c>
      <c r="J280" s="17">
        <f t="shared" si="103"/>
        <v>200</v>
      </c>
      <c r="K280" s="74"/>
    </row>
    <row r="281" spans="1:11" s="9" customFormat="1" ht="15" customHeight="1">
      <c r="A281" s="123" t="s">
        <v>273</v>
      </c>
      <c r="B281" s="11" t="s">
        <v>7</v>
      </c>
      <c r="C281" s="19">
        <f>SUM(D281:J281)</f>
        <v>762.6</v>
      </c>
      <c r="D281" s="23">
        <f>SUM(D284+D287)</f>
        <v>12.600000000000009</v>
      </c>
      <c r="E281" s="23">
        <f aca="true" t="shared" si="104" ref="E281:J281">SUM(E284+E287)</f>
        <v>0</v>
      </c>
      <c r="F281" s="23">
        <f t="shared" si="104"/>
        <v>0</v>
      </c>
      <c r="G281" s="23">
        <f t="shared" si="104"/>
        <v>50</v>
      </c>
      <c r="H281" s="23">
        <f t="shared" si="104"/>
        <v>300</v>
      </c>
      <c r="I281" s="23">
        <f t="shared" si="104"/>
        <v>200</v>
      </c>
      <c r="J281" s="23">
        <f t="shared" si="104"/>
        <v>200</v>
      </c>
      <c r="K281" s="74"/>
    </row>
    <row r="282" spans="1:11" s="9" customFormat="1" ht="15" customHeight="1">
      <c r="A282" s="108"/>
      <c r="B282" s="13"/>
      <c r="C282" s="134"/>
      <c r="D282" s="7"/>
      <c r="E282" s="7"/>
      <c r="F282" s="7"/>
      <c r="G282" s="7"/>
      <c r="H282" s="7"/>
      <c r="I282" s="7"/>
      <c r="J282" s="7"/>
      <c r="K282" s="74"/>
    </row>
    <row r="283" spans="1:11" s="9" customFormat="1" ht="52.5" customHeight="1">
      <c r="A283" s="107" t="s">
        <v>274</v>
      </c>
      <c r="B283" s="44" t="s">
        <v>346</v>
      </c>
      <c r="C283" s="19">
        <f>SUM(C284)</f>
        <v>401.6</v>
      </c>
      <c r="D283" s="17">
        <f>SUM(D284:D284)</f>
        <v>1.6000000000000085</v>
      </c>
      <c r="E283" s="17">
        <f aca="true" t="shared" si="105" ref="E283:J283">SUM(E284:E284)</f>
        <v>0</v>
      </c>
      <c r="F283" s="17">
        <f t="shared" si="105"/>
        <v>0</v>
      </c>
      <c r="G283" s="17">
        <f t="shared" si="105"/>
        <v>50</v>
      </c>
      <c r="H283" s="17">
        <f t="shared" si="105"/>
        <v>150</v>
      </c>
      <c r="I283" s="17">
        <f t="shared" si="105"/>
        <v>100</v>
      </c>
      <c r="J283" s="17">
        <f t="shared" si="105"/>
        <v>100</v>
      </c>
      <c r="K283" s="74" t="s">
        <v>33</v>
      </c>
    </row>
    <row r="284" spans="1:11" s="9" customFormat="1" ht="15" customHeight="1">
      <c r="A284" s="123" t="s">
        <v>275</v>
      </c>
      <c r="B284" s="11" t="s">
        <v>7</v>
      </c>
      <c r="C284" s="19">
        <f>SUM(D284:J284)</f>
        <v>401.6</v>
      </c>
      <c r="D284" s="35">
        <f>150-81.8-66.6</f>
        <v>1.6000000000000085</v>
      </c>
      <c r="E284" s="23">
        <v>0</v>
      </c>
      <c r="F284" s="23">
        <v>0</v>
      </c>
      <c r="G284" s="23">
        <v>50</v>
      </c>
      <c r="H284" s="23">
        <v>150</v>
      </c>
      <c r="I284" s="23">
        <v>100</v>
      </c>
      <c r="J284" s="23">
        <v>100</v>
      </c>
      <c r="K284" s="74"/>
    </row>
    <row r="285" spans="1:11" s="9" customFormat="1" ht="15" customHeight="1">
      <c r="A285" s="108"/>
      <c r="B285" s="11"/>
      <c r="C285" s="19"/>
      <c r="D285" s="35"/>
      <c r="E285" s="23"/>
      <c r="F285" s="23"/>
      <c r="G285" s="23"/>
      <c r="H285" s="23"/>
      <c r="I285" s="23"/>
      <c r="J285" s="23"/>
      <c r="K285" s="74"/>
    </row>
    <row r="286" spans="1:11" s="9" customFormat="1" ht="51" customHeight="1">
      <c r="A286" s="107" t="s">
        <v>276</v>
      </c>
      <c r="B286" s="44" t="s">
        <v>347</v>
      </c>
      <c r="C286" s="19">
        <f>SUM(C287)</f>
        <v>361</v>
      </c>
      <c r="D286" s="36">
        <f>SUM(D287:D287)</f>
        <v>11</v>
      </c>
      <c r="E286" s="17">
        <f aca="true" t="shared" si="106" ref="E286:J286">SUM(E287:E287)</f>
        <v>0</v>
      </c>
      <c r="F286" s="17">
        <f t="shared" si="106"/>
        <v>0</v>
      </c>
      <c r="G286" s="17">
        <f t="shared" si="106"/>
        <v>0</v>
      </c>
      <c r="H286" s="17">
        <f t="shared" si="106"/>
        <v>150</v>
      </c>
      <c r="I286" s="17">
        <f t="shared" si="106"/>
        <v>100</v>
      </c>
      <c r="J286" s="17">
        <f t="shared" si="106"/>
        <v>100</v>
      </c>
      <c r="K286" s="74" t="s">
        <v>93</v>
      </c>
    </row>
    <row r="287" spans="1:11" s="9" customFormat="1" ht="15" customHeight="1">
      <c r="A287" s="123" t="s">
        <v>277</v>
      </c>
      <c r="B287" s="11" t="s">
        <v>7</v>
      </c>
      <c r="C287" s="19">
        <f>SUM(D287:J287)</f>
        <v>361</v>
      </c>
      <c r="D287" s="35">
        <f>150-139</f>
        <v>11</v>
      </c>
      <c r="E287" s="23">
        <v>0</v>
      </c>
      <c r="F287" s="23">
        <v>0</v>
      </c>
      <c r="G287" s="23">
        <v>0</v>
      </c>
      <c r="H287" s="23">
        <v>150</v>
      </c>
      <c r="I287" s="23">
        <v>100</v>
      </c>
      <c r="J287" s="23">
        <v>100</v>
      </c>
      <c r="K287" s="74"/>
    </row>
    <row r="288" spans="1:11" s="9" customFormat="1" ht="15" customHeight="1">
      <c r="A288" s="104"/>
      <c r="B288" s="10"/>
      <c r="C288" s="17"/>
      <c r="D288" s="23"/>
      <c r="E288" s="23"/>
      <c r="F288" s="23"/>
      <c r="G288" s="23"/>
      <c r="H288" s="23"/>
      <c r="I288" s="23"/>
      <c r="J288" s="23"/>
      <c r="K288" s="74"/>
    </row>
    <row r="289" spans="1:11" s="8" customFormat="1" ht="15" customHeight="1">
      <c r="A289" s="106"/>
      <c r="B289" s="176" t="s">
        <v>2</v>
      </c>
      <c r="C289" s="177"/>
      <c r="D289" s="177"/>
      <c r="E289" s="177"/>
      <c r="F289" s="177"/>
      <c r="G289" s="177"/>
      <c r="H289" s="177"/>
      <c r="I289" s="177"/>
      <c r="J289" s="177"/>
      <c r="K289" s="178"/>
    </row>
    <row r="290" spans="1:11" s="9" customFormat="1" ht="15.75">
      <c r="A290" s="107" t="s">
        <v>278</v>
      </c>
      <c r="B290" s="44" t="s">
        <v>57</v>
      </c>
      <c r="C290" s="19">
        <f>SUM(C291:C294)</f>
        <v>154062.86599999998</v>
      </c>
      <c r="D290" s="17">
        <f>SUM(D291:D294)</f>
        <v>21288.9</v>
      </c>
      <c r="E290" s="17">
        <f aca="true" t="shared" si="107" ref="E290:J290">SUM(E291:E294)</f>
        <v>27798.866</v>
      </c>
      <c r="F290" s="17">
        <f t="shared" si="107"/>
        <v>21400.9</v>
      </c>
      <c r="G290" s="17">
        <f t="shared" si="107"/>
        <v>21413.3</v>
      </c>
      <c r="H290" s="17">
        <f t="shared" si="107"/>
        <v>20720.3</v>
      </c>
      <c r="I290" s="17">
        <f t="shared" si="107"/>
        <v>20720.3</v>
      </c>
      <c r="J290" s="17">
        <f t="shared" si="107"/>
        <v>20720.3</v>
      </c>
      <c r="K290" s="74"/>
    </row>
    <row r="291" spans="1:11" s="9" customFormat="1" ht="15" customHeight="1">
      <c r="A291" s="123" t="s">
        <v>279</v>
      </c>
      <c r="B291" s="11" t="s">
        <v>7</v>
      </c>
      <c r="C291" s="19">
        <f>SUM(D291:J291)</f>
        <v>72940.56599999999</v>
      </c>
      <c r="D291" s="23">
        <f aca="true" t="shared" si="108" ref="D291:J291">SUM(D297+D303)</f>
        <v>9510.1</v>
      </c>
      <c r="E291" s="23">
        <f t="shared" si="108"/>
        <v>12406.866</v>
      </c>
      <c r="F291" s="154">
        <f t="shared" si="108"/>
        <v>10610.6</v>
      </c>
      <c r="G291" s="23">
        <f t="shared" si="108"/>
        <v>10623</v>
      </c>
      <c r="H291" s="23">
        <f t="shared" si="108"/>
        <v>9930</v>
      </c>
      <c r="I291" s="23">
        <f t="shared" si="108"/>
        <v>9930</v>
      </c>
      <c r="J291" s="23">
        <f t="shared" si="108"/>
        <v>9930</v>
      </c>
      <c r="K291" s="74"/>
    </row>
    <row r="292" spans="1:11" s="9" customFormat="1" ht="15" customHeight="1">
      <c r="A292" s="123" t="s">
        <v>280</v>
      </c>
      <c r="B292" s="11" t="s">
        <v>8</v>
      </c>
      <c r="C292" s="19">
        <f>SUM(D292:J292)</f>
        <v>0</v>
      </c>
      <c r="D292" s="23"/>
      <c r="E292" s="23"/>
      <c r="F292" s="23"/>
      <c r="G292" s="23"/>
      <c r="H292" s="23"/>
      <c r="I292" s="23"/>
      <c r="J292" s="23"/>
      <c r="K292" s="74"/>
    </row>
    <row r="293" spans="1:11" s="9" customFormat="1" ht="15" customHeight="1">
      <c r="A293" s="123" t="s">
        <v>281</v>
      </c>
      <c r="B293" s="11" t="s">
        <v>9</v>
      </c>
      <c r="C293" s="19">
        <f>SUM(D293:J293)</f>
        <v>81122.3</v>
      </c>
      <c r="D293" s="23">
        <f>SUM(D305)</f>
        <v>11778.8</v>
      </c>
      <c r="E293" s="23">
        <f aca="true" t="shared" si="109" ref="E293:J293">SUM(E305)</f>
        <v>15392</v>
      </c>
      <c r="F293" s="23">
        <f t="shared" si="109"/>
        <v>10790.3</v>
      </c>
      <c r="G293" s="23">
        <f t="shared" si="109"/>
        <v>10790.3</v>
      </c>
      <c r="H293" s="23">
        <f t="shared" si="109"/>
        <v>10790.3</v>
      </c>
      <c r="I293" s="23">
        <f t="shared" si="109"/>
        <v>10790.3</v>
      </c>
      <c r="J293" s="23">
        <f t="shared" si="109"/>
        <v>10790.3</v>
      </c>
      <c r="K293" s="74"/>
    </row>
    <row r="294" spans="1:11" s="9" customFormat="1" ht="15" customHeight="1">
      <c r="A294" s="123" t="s">
        <v>282</v>
      </c>
      <c r="B294" s="11" t="s">
        <v>10</v>
      </c>
      <c r="C294" s="19">
        <f>SUM(D294:J294)</f>
        <v>0</v>
      </c>
      <c r="D294" s="23"/>
      <c r="E294" s="23"/>
      <c r="F294" s="23"/>
      <c r="G294" s="23"/>
      <c r="H294" s="23"/>
      <c r="I294" s="23"/>
      <c r="J294" s="23"/>
      <c r="K294" s="74"/>
    </row>
    <row r="295" spans="1:11" s="9" customFormat="1" ht="15" customHeight="1">
      <c r="A295" s="120"/>
      <c r="B295" s="179" t="s">
        <v>11</v>
      </c>
      <c r="C295" s="180"/>
      <c r="D295" s="180"/>
      <c r="E295" s="180"/>
      <c r="F295" s="180"/>
      <c r="G295" s="180"/>
      <c r="H295" s="180"/>
      <c r="I295" s="180"/>
      <c r="J295" s="180"/>
      <c r="K295" s="181"/>
    </row>
    <row r="296" spans="1:11" s="9" customFormat="1" ht="35.25" customHeight="1">
      <c r="A296" s="107" t="s">
        <v>283</v>
      </c>
      <c r="B296" s="44" t="s">
        <v>52</v>
      </c>
      <c r="C296" s="19">
        <v>0</v>
      </c>
      <c r="D296" s="17"/>
      <c r="E296" s="17"/>
      <c r="F296" s="17"/>
      <c r="G296" s="17"/>
      <c r="H296" s="17"/>
      <c r="I296" s="17"/>
      <c r="J296" s="17"/>
      <c r="K296" s="74"/>
    </row>
    <row r="297" spans="1:11" s="9" customFormat="1" ht="15" customHeight="1">
      <c r="A297" s="123" t="s">
        <v>284</v>
      </c>
      <c r="B297" s="11" t="s">
        <v>7</v>
      </c>
      <c r="C297" s="19">
        <f>SUM(D297:J297)</f>
        <v>0</v>
      </c>
      <c r="D297" s="23"/>
      <c r="E297" s="23"/>
      <c r="F297" s="23"/>
      <c r="G297" s="23"/>
      <c r="H297" s="23"/>
      <c r="I297" s="23"/>
      <c r="J297" s="23"/>
      <c r="K297" s="74"/>
    </row>
    <row r="298" spans="1:11" s="9" customFormat="1" ht="15" customHeight="1">
      <c r="A298" s="121"/>
      <c r="B298" s="160" t="s">
        <v>12</v>
      </c>
      <c r="C298" s="161"/>
      <c r="D298" s="161"/>
      <c r="E298" s="161"/>
      <c r="F298" s="161"/>
      <c r="G298" s="161"/>
      <c r="H298" s="161"/>
      <c r="I298" s="161"/>
      <c r="J298" s="161"/>
      <c r="K298" s="162"/>
    </row>
    <row r="299" spans="1:11" s="9" customFormat="1" ht="48.75" customHeight="1">
      <c r="A299" s="107" t="s">
        <v>285</v>
      </c>
      <c r="B299" s="44" t="s">
        <v>333</v>
      </c>
      <c r="C299" s="19">
        <v>0</v>
      </c>
      <c r="D299" s="17"/>
      <c r="E299" s="17"/>
      <c r="F299" s="17"/>
      <c r="G299" s="17"/>
      <c r="H299" s="17"/>
      <c r="I299" s="17"/>
      <c r="J299" s="17"/>
      <c r="K299" s="74"/>
    </row>
    <row r="300" spans="1:11" s="9" customFormat="1" ht="15" customHeight="1">
      <c r="A300" s="123" t="s">
        <v>286</v>
      </c>
      <c r="B300" s="11" t="s">
        <v>7</v>
      </c>
      <c r="C300" s="19">
        <f>SUM(D300:J300)</f>
        <v>0</v>
      </c>
      <c r="D300" s="23"/>
      <c r="E300" s="23"/>
      <c r="F300" s="23"/>
      <c r="G300" s="23"/>
      <c r="H300" s="23"/>
      <c r="I300" s="23"/>
      <c r="J300" s="23"/>
      <c r="K300" s="74"/>
    </row>
    <row r="301" spans="1:11" s="9" customFormat="1" ht="15" customHeight="1">
      <c r="A301" s="109"/>
      <c r="B301" s="173" t="s">
        <v>15</v>
      </c>
      <c r="C301" s="174"/>
      <c r="D301" s="174"/>
      <c r="E301" s="174"/>
      <c r="F301" s="174"/>
      <c r="G301" s="174"/>
      <c r="H301" s="174"/>
      <c r="I301" s="174"/>
      <c r="J301" s="174"/>
      <c r="K301" s="175"/>
    </row>
    <row r="302" spans="1:11" s="9" customFormat="1" ht="31.5">
      <c r="A302" s="107" t="s">
        <v>287</v>
      </c>
      <c r="B302" s="44" t="s">
        <v>16</v>
      </c>
      <c r="C302" s="19">
        <f>SUM(C303:C305)</f>
        <v>154062.86599999998</v>
      </c>
      <c r="D302" s="17">
        <f>SUM(D303:D305)</f>
        <v>21288.9</v>
      </c>
      <c r="E302" s="17">
        <f aca="true" t="shared" si="110" ref="E302:J302">SUM(E303:E305)</f>
        <v>27798.866</v>
      </c>
      <c r="F302" s="17">
        <f t="shared" si="110"/>
        <v>21400.9</v>
      </c>
      <c r="G302" s="17">
        <f t="shared" si="110"/>
        <v>21413.3</v>
      </c>
      <c r="H302" s="17">
        <f t="shared" si="110"/>
        <v>20720.3</v>
      </c>
      <c r="I302" s="17">
        <f t="shared" si="110"/>
        <v>20720.3</v>
      </c>
      <c r="J302" s="17">
        <f t="shared" si="110"/>
        <v>20720.3</v>
      </c>
      <c r="K302" s="74"/>
    </row>
    <row r="303" spans="1:11" s="9" customFormat="1" ht="15" customHeight="1">
      <c r="A303" s="123" t="s">
        <v>288</v>
      </c>
      <c r="B303" s="11" t="s">
        <v>7</v>
      </c>
      <c r="C303" s="19">
        <f>SUM(D303:J303)</f>
        <v>72940.56599999999</v>
      </c>
      <c r="D303" s="23">
        <f aca="true" t="shared" si="111" ref="D303:J303">SUM(D308+D312+D315+D319)</f>
        <v>9510.1</v>
      </c>
      <c r="E303" s="23">
        <f t="shared" si="111"/>
        <v>12406.866</v>
      </c>
      <c r="F303" s="23">
        <f t="shared" si="111"/>
        <v>10610.6</v>
      </c>
      <c r="G303" s="23">
        <f t="shared" si="111"/>
        <v>10623</v>
      </c>
      <c r="H303" s="23">
        <f t="shared" si="111"/>
        <v>9930</v>
      </c>
      <c r="I303" s="23">
        <f t="shared" si="111"/>
        <v>9930</v>
      </c>
      <c r="J303" s="23">
        <f t="shared" si="111"/>
        <v>9930</v>
      </c>
      <c r="K303" s="74"/>
    </row>
    <row r="304" spans="1:11" s="9" customFormat="1" ht="15" customHeight="1">
      <c r="A304" s="123" t="s">
        <v>289</v>
      </c>
      <c r="B304" s="11" t="s">
        <v>8</v>
      </c>
      <c r="C304" s="19">
        <f>SUM(D304:J304)</f>
        <v>0</v>
      </c>
      <c r="D304" s="23"/>
      <c r="E304" s="23"/>
      <c r="F304" s="23"/>
      <c r="G304" s="23"/>
      <c r="H304" s="23"/>
      <c r="I304" s="23"/>
      <c r="J304" s="23"/>
      <c r="K304" s="74"/>
    </row>
    <row r="305" spans="1:11" s="9" customFormat="1" ht="15" customHeight="1">
      <c r="A305" s="123" t="s">
        <v>404</v>
      </c>
      <c r="B305" s="11" t="s">
        <v>9</v>
      </c>
      <c r="C305" s="19">
        <f>SUM(D305:J305)</f>
        <v>81122.3</v>
      </c>
      <c r="D305" s="23">
        <f>SUM(D316+D309)</f>
        <v>11778.8</v>
      </c>
      <c r="E305" s="23">
        <f aca="true" t="shared" si="112" ref="E305:J305">SUM(E316+E309)</f>
        <v>15392</v>
      </c>
      <c r="F305" s="23">
        <f t="shared" si="112"/>
        <v>10790.3</v>
      </c>
      <c r="G305" s="23">
        <f t="shared" si="112"/>
        <v>10790.3</v>
      </c>
      <c r="H305" s="23">
        <f t="shared" si="112"/>
        <v>10790.3</v>
      </c>
      <c r="I305" s="23">
        <f t="shared" si="112"/>
        <v>10790.3</v>
      </c>
      <c r="J305" s="23">
        <f t="shared" si="112"/>
        <v>10790.3</v>
      </c>
      <c r="K305" s="74"/>
    </row>
    <row r="306" spans="1:11" s="9" customFormat="1" ht="15" customHeight="1">
      <c r="A306" s="108"/>
      <c r="B306" s="11"/>
      <c r="C306" s="19"/>
      <c r="D306" s="23"/>
      <c r="E306" s="23"/>
      <c r="F306" s="23"/>
      <c r="G306" s="23"/>
      <c r="H306" s="23"/>
      <c r="I306" s="23"/>
      <c r="J306" s="23"/>
      <c r="K306" s="74"/>
    </row>
    <row r="307" spans="1:11" s="9" customFormat="1" ht="83.25" customHeight="1">
      <c r="A307" s="107" t="s">
        <v>290</v>
      </c>
      <c r="B307" s="44" t="s">
        <v>53</v>
      </c>
      <c r="C307" s="19">
        <f>SUM(C308)</f>
        <v>16601.7</v>
      </c>
      <c r="D307" s="17">
        <f aca="true" t="shared" si="113" ref="D307:J307">SUM(D308:D309)</f>
        <v>3671.3</v>
      </c>
      <c r="E307" s="17">
        <f t="shared" si="113"/>
        <v>9203.4</v>
      </c>
      <c r="F307" s="17">
        <f t="shared" si="113"/>
        <v>2000</v>
      </c>
      <c r="G307" s="17">
        <f t="shared" si="113"/>
        <v>2000</v>
      </c>
      <c r="H307" s="17">
        <f t="shared" si="113"/>
        <v>2000</v>
      </c>
      <c r="I307" s="17">
        <f t="shared" si="113"/>
        <v>2000</v>
      </c>
      <c r="J307" s="17">
        <f t="shared" si="113"/>
        <v>2000</v>
      </c>
      <c r="K307" s="74" t="s">
        <v>34</v>
      </c>
    </row>
    <row r="308" spans="1:11" s="9" customFormat="1" ht="15" customHeight="1">
      <c r="A308" s="123" t="s">
        <v>291</v>
      </c>
      <c r="B308" s="11" t="s">
        <v>7</v>
      </c>
      <c r="C308" s="19">
        <f>SUM(D308:J308)</f>
        <v>16601.7</v>
      </c>
      <c r="D308" s="23">
        <v>2000</v>
      </c>
      <c r="E308" s="35">
        <f>2000+1001.7+1600</f>
        <v>4601.7</v>
      </c>
      <c r="F308" s="23">
        <v>2000</v>
      </c>
      <c r="G308" s="23">
        <v>2000</v>
      </c>
      <c r="H308" s="23">
        <v>2000</v>
      </c>
      <c r="I308" s="23">
        <v>2000</v>
      </c>
      <c r="J308" s="23">
        <v>2000</v>
      </c>
      <c r="K308" s="74"/>
    </row>
    <row r="309" spans="1:11" s="9" customFormat="1" ht="15" customHeight="1">
      <c r="A309" s="124" t="s">
        <v>292</v>
      </c>
      <c r="B309" s="12" t="s">
        <v>9</v>
      </c>
      <c r="C309" s="19">
        <f>SUM(D309:J309)</f>
        <v>6273</v>
      </c>
      <c r="D309" s="23">
        <f>1671.4-0.1</f>
        <v>1671.3000000000002</v>
      </c>
      <c r="E309" s="35">
        <f>4601.7</f>
        <v>4601.7</v>
      </c>
      <c r="F309" s="23"/>
      <c r="G309" s="23"/>
      <c r="H309" s="23"/>
      <c r="I309" s="23"/>
      <c r="J309" s="23"/>
      <c r="K309" s="74"/>
    </row>
    <row r="310" spans="1:11" s="9" customFormat="1" ht="15" customHeight="1">
      <c r="A310" s="108"/>
      <c r="B310" s="12"/>
      <c r="C310" s="19"/>
      <c r="D310" s="23"/>
      <c r="E310" s="23"/>
      <c r="F310" s="23"/>
      <c r="G310" s="23"/>
      <c r="H310" s="23"/>
      <c r="I310" s="23"/>
      <c r="J310" s="23"/>
      <c r="K310" s="74"/>
    </row>
    <row r="311" spans="1:11" s="9" customFormat="1" ht="50.25" customHeight="1">
      <c r="A311" s="123" t="s">
        <v>293</v>
      </c>
      <c r="B311" s="44" t="s">
        <v>58</v>
      </c>
      <c r="C311" s="19">
        <f>SUM(C312)</f>
        <v>13050</v>
      </c>
      <c r="D311" s="17">
        <f aca="true" t="shared" si="114" ref="D311:J311">SUM(D312:D312)</f>
        <v>1600</v>
      </c>
      <c r="E311" s="17">
        <f t="shared" si="114"/>
        <v>1450</v>
      </c>
      <c r="F311" s="17">
        <f t="shared" si="114"/>
        <v>2000</v>
      </c>
      <c r="G311" s="17">
        <f t="shared" si="114"/>
        <v>2000</v>
      </c>
      <c r="H311" s="17">
        <f t="shared" si="114"/>
        <v>2000</v>
      </c>
      <c r="I311" s="17">
        <f t="shared" si="114"/>
        <v>2000</v>
      </c>
      <c r="J311" s="17">
        <f t="shared" si="114"/>
        <v>2000</v>
      </c>
      <c r="K311" s="74" t="s">
        <v>34</v>
      </c>
    </row>
    <row r="312" spans="1:11" s="9" customFormat="1" ht="15" customHeight="1">
      <c r="A312" s="123" t="s">
        <v>294</v>
      </c>
      <c r="B312" s="11" t="s">
        <v>7</v>
      </c>
      <c r="C312" s="19">
        <f>SUM(D312:J312)</f>
        <v>13050</v>
      </c>
      <c r="D312" s="23">
        <f>2000-400</f>
        <v>1600</v>
      </c>
      <c r="E312" s="23">
        <v>1450</v>
      </c>
      <c r="F312" s="23">
        <v>2000</v>
      </c>
      <c r="G312" s="23">
        <v>2000</v>
      </c>
      <c r="H312" s="23">
        <v>2000</v>
      </c>
      <c r="I312" s="23">
        <v>2000</v>
      </c>
      <c r="J312" s="23">
        <v>2000</v>
      </c>
      <c r="K312" s="74"/>
    </row>
    <row r="313" spans="1:11" s="9" customFormat="1" ht="15" customHeight="1">
      <c r="A313" s="108"/>
      <c r="B313" s="11"/>
      <c r="C313" s="19"/>
      <c r="D313" s="23"/>
      <c r="E313" s="23"/>
      <c r="F313" s="23"/>
      <c r="G313" s="23"/>
      <c r="H313" s="23"/>
      <c r="I313" s="23"/>
      <c r="J313" s="23"/>
      <c r="K313" s="74"/>
    </row>
    <row r="314" spans="1:11" s="9" customFormat="1" ht="50.25" customHeight="1">
      <c r="A314" s="123" t="s">
        <v>295</v>
      </c>
      <c r="B314" s="44" t="s">
        <v>54</v>
      </c>
      <c r="C314" s="19">
        <f>SUM(C315:C316)</f>
        <v>105784.666</v>
      </c>
      <c r="D314" s="17">
        <f>SUM(D315:D316)</f>
        <v>14317.7</v>
      </c>
      <c r="E314" s="140">
        <f aca="true" t="shared" si="115" ref="E314:J314">SUM(E315:E316)</f>
        <v>15015.466</v>
      </c>
      <c r="F314" s="17">
        <f t="shared" si="115"/>
        <v>15290.3</v>
      </c>
      <c r="G314" s="17">
        <f t="shared" si="115"/>
        <v>15290.3</v>
      </c>
      <c r="H314" s="17">
        <f t="shared" si="115"/>
        <v>15290.3</v>
      </c>
      <c r="I314" s="17">
        <f t="shared" si="115"/>
        <v>15290.3</v>
      </c>
      <c r="J314" s="17">
        <f t="shared" si="115"/>
        <v>15290.3</v>
      </c>
      <c r="K314" s="74" t="s">
        <v>35</v>
      </c>
    </row>
    <row r="315" spans="1:11" s="9" customFormat="1" ht="15" customHeight="1">
      <c r="A315" s="123" t="s">
        <v>296</v>
      </c>
      <c r="B315" s="11" t="s">
        <v>7</v>
      </c>
      <c r="C315" s="19">
        <f>SUM(D315:J315)</f>
        <v>30935.366</v>
      </c>
      <c r="D315" s="53">
        <f>4000+210.2-0.1+0.1</f>
        <v>4210.2</v>
      </c>
      <c r="E315" s="137">
        <f>4000+225.166</f>
        <v>4225.166</v>
      </c>
      <c r="F315" s="16">
        <v>4500</v>
      </c>
      <c r="G315" s="16">
        <v>4500</v>
      </c>
      <c r="H315" s="16">
        <v>4500</v>
      </c>
      <c r="I315" s="16">
        <v>4500</v>
      </c>
      <c r="J315" s="16">
        <v>4500</v>
      </c>
      <c r="K315" s="74"/>
    </row>
    <row r="316" spans="1:11" s="9" customFormat="1" ht="15" customHeight="1">
      <c r="A316" s="123" t="s">
        <v>297</v>
      </c>
      <c r="B316" s="11" t="s">
        <v>9</v>
      </c>
      <c r="C316" s="19">
        <f>SUM(D316:J316)</f>
        <v>74849.3</v>
      </c>
      <c r="D316" s="53">
        <v>10107.5</v>
      </c>
      <c r="E316" s="53">
        <v>10790.3</v>
      </c>
      <c r="F316" s="53">
        <v>10790.3</v>
      </c>
      <c r="G316" s="16">
        <v>10790.3</v>
      </c>
      <c r="H316" s="16">
        <v>10790.3</v>
      </c>
      <c r="I316" s="16">
        <v>10790.3</v>
      </c>
      <c r="J316" s="16">
        <v>10790.3</v>
      </c>
      <c r="K316" s="74"/>
    </row>
    <row r="317" spans="1:11" s="9" customFormat="1" ht="15" customHeight="1">
      <c r="A317" s="108"/>
      <c r="B317" s="11"/>
      <c r="C317" s="19"/>
      <c r="D317" s="53"/>
      <c r="E317" s="53"/>
      <c r="F317" s="53"/>
      <c r="G317" s="16"/>
      <c r="H317" s="16"/>
      <c r="I317" s="16"/>
      <c r="J317" s="16"/>
      <c r="K317" s="74"/>
    </row>
    <row r="318" spans="1:11" s="9" customFormat="1" ht="65.25" customHeight="1">
      <c r="A318" s="123" t="s">
        <v>298</v>
      </c>
      <c r="B318" s="44" t="s">
        <v>59</v>
      </c>
      <c r="C318" s="19">
        <f>SUM(D318:J318)</f>
        <v>12353.5</v>
      </c>
      <c r="D318" s="17">
        <f aca="true" t="shared" si="116" ref="D318:J318">SUM(D319:D319)</f>
        <v>1699.9</v>
      </c>
      <c r="E318" s="17">
        <f t="shared" si="116"/>
        <v>2130</v>
      </c>
      <c r="F318" s="17">
        <f t="shared" si="116"/>
        <v>2110.6</v>
      </c>
      <c r="G318" s="17">
        <f t="shared" si="116"/>
        <v>2123</v>
      </c>
      <c r="H318" s="17">
        <f t="shared" si="116"/>
        <v>1430</v>
      </c>
      <c r="I318" s="17">
        <f t="shared" si="116"/>
        <v>1430</v>
      </c>
      <c r="J318" s="17">
        <f t="shared" si="116"/>
        <v>1430</v>
      </c>
      <c r="K318" s="74" t="s">
        <v>34</v>
      </c>
    </row>
    <row r="319" spans="1:11" s="9" customFormat="1" ht="15" customHeight="1">
      <c r="A319" s="123" t="s">
        <v>299</v>
      </c>
      <c r="B319" s="11" t="s">
        <v>7</v>
      </c>
      <c r="C319" s="19">
        <f>SUM(D319:J319)</f>
        <v>12353.5</v>
      </c>
      <c r="D319" s="35">
        <v>1699.9</v>
      </c>
      <c r="E319" s="35">
        <f>1950+120+60</f>
        <v>2130</v>
      </c>
      <c r="F319" s="23">
        <v>2110.6</v>
      </c>
      <c r="G319" s="23">
        <v>2123</v>
      </c>
      <c r="H319" s="23">
        <v>1430</v>
      </c>
      <c r="I319" s="23">
        <v>1430</v>
      </c>
      <c r="J319" s="23">
        <v>1430</v>
      </c>
      <c r="K319" s="74"/>
    </row>
    <row r="320" spans="1:11" s="9" customFormat="1" ht="15" customHeight="1">
      <c r="A320" s="124"/>
      <c r="B320" s="11"/>
      <c r="C320" s="17"/>
      <c r="D320" s="35"/>
      <c r="E320" s="35"/>
      <c r="F320" s="23"/>
      <c r="G320" s="23"/>
      <c r="H320" s="23"/>
      <c r="I320" s="23"/>
      <c r="J320" s="23"/>
      <c r="K320" s="74"/>
    </row>
    <row r="321" spans="1:11" s="8" customFormat="1" ht="30.75" customHeight="1">
      <c r="A321" s="106"/>
      <c r="B321" s="176" t="s">
        <v>87</v>
      </c>
      <c r="C321" s="177"/>
      <c r="D321" s="177"/>
      <c r="E321" s="177"/>
      <c r="F321" s="177"/>
      <c r="G321" s="177"/>
      <c r="H321" s="177"/>
      <c r="I321" s="177"/>
      <c r="J321" s="177"/>
      <c r="K321" s="178"/>
    </row>
    <row r="322" spans="1:11" s="9" customFormat="1" ht="15.75">
      <c r="A322" s="107" t="s">
        <v>300</v>
      </c>
      <c r="B322" s="44" t="s">
        <v>60</v>
      </c>
      <c r="C322" s="17">
        <f aca="true" t="shared" si="117" ref="C322:J322">SUM(C323:C325)</f>
        <v>225870.239</v>
      </c>
      <c r="D322" s="17">
        <f t="shared" si="117"/>
        <v>30652.600000000002</v>
      </c>
      <c r="E322" s="17">
        <f t="shared" si="117"/>
        <v>28315.639000000003</v>
      </c>
      <c r="F322" s="17">
        <f t="shared" si="117"/>
        <v>34113</v>
      </c>
      <c r="G322" s="17">
        <f t="shared" si="117"/>
        <v>32769</v>
      </c>
      <c r="H322" s="17">
        <f t="shared" si="117"/>
        <v>34340</v>
      </c>
      <c r="I322" s="17">
        <f t="shared" si="117"/>
        <v>32090</v>
      </c>
      <c r="J322" s="17">
        <f t="shared" si="117"/>
        <v>33590</v>
      </c>
      <c r="K322" s="74"/>
    </row>
    <row r="323" spans="1:11" s="9" customFormat="1" ht="15" customHeight="1">
      <c r="A323" s="123" t="s">
        <v>301</v>
      </c>
      <c r="B323" s="11" t="s">
        <v>7</v>
      </c>
      <c r="C323" s="19">
        <f>SUM(D323:J323)</f>
        <v>225120.239</v>
      </c>
      <c r="D323" s="23">
        <f>SUM(D329+D347)</f>
        <v>29902.600000000002</v>
      </c>
      <c r="E323" s="23">
        <f aca="true" t="shared" si="118" ref="E323:J323">SUM(E329+E347)</f>
        <v>28315.639000000003</v>
      </c>
      <c r="F323" s="159">
        <f t="shared" si="118"/>
        <v>34113</v>
      </c>
      <c r="G323" s="23">
        <f t="shared" si="118"/>
        <v>32769</v>
      </c>
      <c r="H323" s="23">
        <f t="shared" si="118"/>
        <v>34340</v>
      </c>
      <c r="I323" s="23">
        <f t="shared" si="118"/>
        <v>32090</v>
      </c>
      <c r="J323" s="23">
        <f t="shared" si="118"/>
        <v>33590</v>
      </c>
      <c r="K323" s="74"/>
    </row>
    <row r="324" spans="1:11" s="9" customFormat="1" ht="15" customHeight="1">
      <c r="A324" s="123" t="s">
        <v>302</v>
      </c>
      <c r="B324" s="11" t="s">
        <v>8</v>
      </c>
      <c r="C324" s="19">
        <f>SUM(D324:J324)</f>
        <v>0</v>
      </c>
      <c r="D324" s="23"/>
      <c r="E324" s="23"/>
      <c r="F324" s="23"/>
      <c r="G324" s="23"/>
      <c r="H324" s="23"/>
      <c r="I324" s="23"/>
      <c r="J324" s="23"/>
      <c r="K324" s="74"/>
    </row>
    <row r="325" spans="1:11" s="9" customFormat="1" ht="15" customHeight="1">
      <c r="A325" s="123" t="s">
        <v>303</v>
      </c>
      <c r="B325" s="11" t="s">
        <v>9</v>
      </c>
      <c r="C325" s="19">
        <f>SUM(D325:J325)</f>
        <v>750</v>
      </c>
      <c r="D325" s="23">
        <f>SUM(D331)</f>
        <v>750</v>
      </c>
      <c r="E325" s="23">
        <f aca="true" t="shared" si="119" ref="E325:J325">SUM(E331)</f>
        <v>0</v>
      </c>
      <c r="F325" s="23">
        <f t="shared" si="119"/>
        <v>0</v>
      </c>
      <c r="G325" s="23">
        <f t="shared" si="119"/>
        <v>0</v>
      </c>
      <c r="H325" s="23">
        <f t="shared" si="119"/>
        <v>0</v>
      </c>
      <c r="I325" s="23">
        <f t="shared" si="119"/>
        <v>0</v>
      </c>
      <c r="J325" s="23">
        <f t="shared" si="119"/>
        <v>0</v>
      </c>
      <c r="K325" s="74"/>
    </row>
    <row r="326" spans="1:11" s="9" customFormat="1" ht="15" customHeight="1">
      <c r="A326" s="108"/>
      <c r="B326" s="11"/>
      <c r="C326" s="19"/>
      <c r="D326" s="23"/>
      <c r="E326" s="23"/>
      <c r="F326" s="23"/>
      <c r="G326" s="23"/>
      <c r="H326" s="23"/>
      <c r="I326" s="23"/>
      <c r="J326" s="23"/>
      <c r="K326" s="74"/>
    </row>
    <row r="327" spans="1:11" s="9" customFormat="1" ht="15" customHeight="1">
      <c r="A327" s="109"/>
      <c r="B327" s="173" t="s">
        <v>11</v>
      </c>
      <c r="C327" s="174"/>
      <c r="D327" s="174"/>
      <c r="E327" s="174"/>
      <c r="F327" s="174"/>
      <c r="G327" s="174"/>
      <c r="H327" s="174"/>
      <c r="I327" s="174"/>
      <c r="J327" s="174"/>
      <c r="K327" s="175"/>
    </row>
    <row r="328" spans="1:11" s="9" customFormat="1" ht="36" customHeight="1">
      <c r="A328" s="123" t="s">
        <v>304</v>
      </c>
      <c r="B328" s="44" t="s">
        <v>52</v>
      </c>
      <c r="C328" s="19">
        <f aca="true" t="shared" si="120" ref="C328:J328">SUM(C329:C331)</f>
        <v>5250</v>
      </c>
      <c r="D328" s="19">
        <f>SUM(D329:D331)</f>
        <v>1500</v>
      </c>
      <c r="E328" s="19">
        <f>SUM(E329:E331)</f>
        <v>0</v>
      </c>
      <c r="F328" s="19">
        <f t="shared" si="120"/>
        <v>0</v>
      </c>
      <c r="G328" s="19">
        <f t="shared" si="120"/>
        <v>0</v>
      </c>
      <c r="H328" s="19">
        <f t="shared" si="120"/>
        <v>2250</v>
      </c>
      <c r="I328" s="19">
        <f t="shared" si="120"/>
        <v>0</v>
      </c>
      <c r="J328" s="19">
        <f t="shared" si="120"/>
        <v>1500</v>
      </c>
      <c r="K328" s="74"/>
    </row>
    <row r="329" spans="1:11" s="9" customFormat="1" ht="15" customHeight="1">
      <c r="A329" s="123" t="s">
        <v>359</v>
      </c>
      <c r="B329" s="11" t="s">
        <v>7</v>
      </c>
      <c r="C329" s="19">
        <f>SUM(D329:J329)</f>
        <v>4500</v>
      </c>
      <c r="D329" s="23">
        <f aca="true" t="shared" si="121" ref="D329:J329">SUM(D335+D339+D342)</f>
        <v>750</v>
      </c>
      <c r="E329" s="23">
        <f t="shared" si="121"/>
        <v>0</v>
      </c>
      <c r="F329" s="23">
        <f t="shared" si="121"/>
        <v>0</v>
      </c>
      <c r="G329" s="23">
        <f t="shared" si="121"/>
        <v>0</v>
      </c>
      <c r="H329" s="23">
        <f t="shared" si="121"/>
        <v>2250</v>
      </c>
      <c r="I329" s="23">
        <f t="shared" si="121"/>
        <v>0</v>
      </c>
      <c r="J329" s="23">
        <f t="shared" si="121"/>
        <v>1500</v>
      </c>
      <c r="K329" s="74"/>
    </row>
    <row r="330" spans="1:11" s="9" customFormat="1" ht="15" customHeight="1">
      <c r="A330" s="123" t="s">
        <v>361</v>
      </c>
      <c r="B330" s="11" t="s">
        <v>8</v>
      </c>
      <c r="C330" s="19">
        <f>SUM(D330:J330)</f>
        <v>0</v>
      </c>
      <c r="D330" s="23"/>
      <c r="E330" s="23"/>
      <c r="F330" s="23"/>
      <c r="G330" s="23"/>
      <c r="H330" s="23"/>
      <c r="I330" s="23"/>
      <c r="J330" s="23"/>
      <c r="K330" s="74"/>
    </row>
    <row r="331" spans="1:11" s="9" customFormat="1" ht="15" customHeight="1">
      <c r="A331" s="123" t="s">
        <v>348</v>
      </c>
      <c r="B331" s="11" t="s">
        <v>9</v>
      </c>
      <c r="C331" s="19">
        <f>SUM(D331:J331)</f>
        <v>750</v>
      </c>
      <c r="D331" s="23">
        <f>SUM(D343)</f>
        <v>750</v>
      </c>
      <c r="E331" s="23">
        <f aca="true" t="shared" si="122" ref="E331:J331">SUM(E343)</f>
        <v>0</v>
      </c>
      <c r="F331" s="23">
        <f t="shared" si="122"/>
        <v>0</v>
      </c>
      <c r="G331" s="23">
        <f t="shared" si="122"/>
        <v>0</v>
      </c>
      <c r="H331" s="23">
        <f t="shared" si="122"/>
        <v>0</v>
      </c>
      <c r="I331" s="23">
        <f t="shared" si="122"/>
        <v>0</v>
      </c>
      <c r="J331" s="23">
        <f t="shared" si="122"/>
        <v>0</v>
      </c>
      <c r="K331" s="74"/>
    </row>
    <row r="332" spans="1:11" s="9" customFormat="1" ht="15" customHeight="1">
      <c r="A332" s="104"/>
      <c r="B332" s="6"/>
      <c r="C332" s="19"/>
      <c r="D332" s="23"/>
      <c r="E332" s="23"/>
      <c r="F332" s="23"/>
      <c r="G332" s="23"/>
      <c r="H332" s="23"/>
      <c r="I332" s="23"/>
      <c r="J332" s="23"/>
      <c r="K332" s="74"/>
    </row>
    <row r="333" spans="1:11" s="9" customFormat="1" ht="15" customHeight="1">
      <c r="A333" s="110"/>
      <c r="B333" s="170" t="s">
        <v>12</v>
      </c>
      <c r="C333" s="171"/>
      <c r="D333" s="171"/>
      <c r="E333" s="171"/>
      <c r="F333" s="171"/>
      <c r="G333" s="171"/>
      <c r="H333" s="171"/>
      <c r="I333" s="171"/>
      <c r="J333" s="171"/>
      <c r="K333" s="172"/>
    </row>
    <row r="334" spans="1:11" s="9" customFormat="1" ht="48.75" customHeight="1">
      <c r="A334" s="123" t="s">
        <v>350</v>
      </c>
      <c r="B334" s="44" t="s">
        <v>334</v>
      </c>
      <c r="C334" s="19">
        <v>0</v>
      </c>
      <c r="D334" s="17">
        <f>SUM(D335:D336)</f>
        <v>0</v>
      </c>
      <c r="E334" s="17">
        <f aca="true" t="shared" si="123" ref="E334:J334">SUM(E335:E336)</f>
        <v>0</v>
      </c>
      <c r="F334" s="17">
        <f t="shared" si="123"/>
        <v>0</v>
      </c>
      <c r="G334" s="17">
        <f t="shared" si="123"/>
        <v>0</v>
      </c>
      <c r="H334" s="17">
        <f t="shared" si="123"/>
        <v>0</v>
      </c>
      <c r="I334" s="17">
        <f t="shared" si="123"/>
        <v>0</v>
      </c>
      <c r="J334" s="17">
        <f t="shared" si="123"/>
        <v>0</v>
      </c>
      <c r="K334" s="74"/>
    </row>
    <row r="335" spans="1:11" s="9" customFormat="1" ht="15" customHeight="1">
      <c r="A335" s="123" t="s">
        <v>351</v>
      </c>
      <c r="B335" s="11" t="s">
        <v>7</v>
      </c>
      <c r="C335" s="19">
        <f>SUM(D335:J335)</f>
        <v>0</v>
      </c>
      <c r="D335" s="23"/>
      <c r="E335" s="23"/>
      <c r="F335" s="23"/>
      <c r="G335" s="23"/>
      <c r="H335" s="23"/>
      <c r="I335" s="23"/>
      <c r="J335" s="23"/>
      <c r="K335" s="74"/>
    </row>
    <row r="336" spans="1:11" s="9" customFormat="1" ht="15" customHeight="1">
      <c r="A336" s="108"/>
      <c r="B336" s="11"/>
      <c r="C336" s="19"/>
      <c r="D336" s="23"/>
      <c r="E336" s="23"/>
      <c r="F336" s="23"/>
      <c r="G336" s="23"/>
      <c r="H336" s="23"/>
      <c r="I336" s="23"/>
      <c r="J336" s="23"/>
      <c r="K336" s="74"/>
    </row>
    <row r="337" spans="1:11" s="9" customFormat="1" ht="15" customHeight="1">
      <c r="A337" s="110"/>
      <c r="B337" s="170" t="s">
        <v>23</v>
      </c>
      <c r="C337" s="171"/>
      <c r="D337" s="171"/>
      <c r="E337" s="171"/>
      <c r="F337" s="171"/>
      <c r="G337" s="171"/>
      <c r="H337" s="171"/>
      <c r="I337" s="171"/>
      <c r="J337" s="171"/>
      <c r="K337" s="172"/>
    </row>
    <row r="338" spans="1:11" s="9" customFormat="1" ht="51.75" customHeight="1">
      <c r="A338" s="123" t="s">
        <v>352</v>
      </c>
      <c r="B338" s="44" t="s">
        <v>63</v>
      </c>
      <c r="C338" s="19">
        <f>SUM(D338:J338)</f>
        <v>1500</v>
      </c>
      <c r="D338" s="17">
        <f>SUM(D339)</f>
        <v>0</v>
      </c>
      <c r="E338" s="17">
        <f aca="true" t="shared" si="124" ref="E338:J338">SUM(E339)</f>
        <v>0</v>
      </c>
      <c r="F338" s="17">
        <f t="shared" si="124"/>
        <v>0</v>
      </c>
      <c r="G338" s="17">
        <f t="shared" si="124"/>
        <v>0</v>
      </c>
      <c r="H338" s="17">
        <f t="shared" si="124"/>
        <v>1500</v>
      </c>
      <c r="I338" s="17">
        <f t="shared" si="124"/>
        <v>0</v>
      </c>
      <c r="J338" s="17">
        <f t="shared" si="124"/>
        <v>0</v>
      </c>
      <c r="K338" s="74" t="s">
        <v>36</v>
      </c>
    </row>
    <row r="339" spans="1:11" s="9" customFormat="1" ht="15" customHeight="1">
      <c r="A339" s="123" t="s">
        <v>305</v>
      </c>
      <c r="B339" s="11" t="s">
        <v>7</v>
      </c>
      <c r="C339" s="19">
        <f>SUM(D339:J339)</f>
        <v>1500</v>
      </c>
      <c r="D339" s="23"/>
      <c r="E339" s="23"/>
      <c r="F339" s="23"/>
      <c r="G339" s="23"/>
      <c r="H339" s="23">
        <v>1500</v>
      </c>
      <c r="I339" s="23"/>
      <c r="J339" s="23"/>
      <c r="K339" s="74"/>
    </row>
    <row r="340" spans="1:11" s="9" customFormat="1" ht="15" customHeight="1">
      <c r="A340" s="107"/>
      <c r="B340" s="11"/>
      <c r="C340" s="19"/>
      <c r="D340" s="23"/>
      <c r="E340" s="23"/>
      <c r="F340" s="23"/>
      <c r="G340" s="23"/>
      <c r="H340" s="23"/>
      <c r="I340" s="23"/>
      <c r="J340" s="23"/>
      <c r="K340" s="74"/>
    </row>
    <row r="341" spans="1:11" s="9" customFormat="1" ht="79.5" customHeight="1">
      <c r="A341" s="123" t="s">
        <v>306</v>
      </c>
      <c r="B341" s="47" t="s">
        <v>73</v>
      </c>
      <c r="C341" s="17">
        <f>SUM(C342:C343)</f>
        <v>3750</v>
      </c>
      <c r="D341" s="17">
        <f>SUM(D342:D343)</f>
        <v>1500</v>
      </c>
      <c r="E341" s="17">
        <f aca="true" t="shared" si="125" ref="E341:J341">SUM(E342:E343)</f>
        <v>0</v>
      </c>
      <c r="F341" s="17">
        <f t="shared" si="125"/>
        <v>0</v>
      </c>
      <c r="G341" s="17">
        <f t="shared" si="125"/>
        <v>0</v>
      </c>
      <c r="H341" s="17">
        <f t="shared" si="125"/>
        <v>750</v>
      </c>
      <c r="I341" s="17">
        <f t="shared" si="125"/>
        <v>0</v>
      </c>
      <c r="J341" s="17">
        <f t="shared" si="125"/>
        <v>1500</v>
      </c>
      <c r="K341" s="74" t="s">
        <v>37</v>
      </c>
    </row>
    <row r="342" spans="1:11" s="9" customFormat="1" ht="15.75">
      <c r="A342" s="123" t="s">
        <v>307</v>
      </c>
      <c r="B342" s="11" t="s">
        <v>7</v>
      </c>
      <c r="C342" s="19">
        <f>SUM(D342:J342)</f>
        <v>3000</v>
      </c>
      <c r="D342" s="23">
        <f>700+50</f>
        <v>750</v>
      </c>
      <c r="E342" s="23"/>
      <c r="F342" s="23"/>
      <c r="G342" s="23"/>
      <c r="H342" s="23">
        <v>750</v>
      </c>
      <c r="I342" s="23"/>
      <c r="J342" s="23">
        <v>1500</v>
      </c>
      <c r="K342" s="74"/>
    </row>
    <row r="343" spans="1:11" s="9" customFormat="1" ht="15" customHeight="1">
      <c r="A343" s="123" t="s">
        <v>308</v>
      </c>
      <c r="B343" s="11" t="s">
        <v>9</v>
      </c>
      <c r="C343" s="19">
        <f>SUM(D343:J343)</f>
        <v>750</v>
      </c>
      <c r="D343" s="23">
        <f>750</f>
        <v>750</v>
      </c>
      <c r="E343" s="23"/>
      <c r="F343" s="23"/>
      <c r="G343" s="23"/>
      <c r="H343" s="23"/>
      <c r="I343" s="23"/>
      <c r="J343" s="23"/>
      <c r="K343" s="74"/>
    </row>
    <row r="344" spans="1:11" s="9" customFormat="1" ht="15" customHeight="1">
      <c r="A344" s="108"/>
      <c r="B344" s="13"/>
      <c r="C344" s="19"/>
      <c r="D344" s="16"/>
      <c r="E344" s="16"/>
      <c r="F344" s="16"/>
      <c r="G344" s="16"/>
      <c r="H344" s="16"/>
      <c r="I344" s="16"/>
      <c r="J344" s="16"/>
      <c r="K344" s="74"/>
    </row>
    <row r="345" spans="1:11" s="9" customFormat="1" ht="15" customHeight="1">
      <c r="A345" s="109"/>
      <c r="B345" s="173" t="s">
        <v>15</v>
      </c>
      <c r="C345" s="174"/>
      <c r="D345" s="174"/>
      <c r="E345" s="174"/>
      <c r="F345" s="174"/>
      <c r="G345" s="174"/>
      <c r="H345" s="174"/>
      <c r="I345" s="174"/>
      <c r="J345" s="174"/>
      <c r="K345" s="175"/>
    </row>
    <row r="346" spans="1:11" s="9" customFormat="1" ht="31.5">
      <c r="A346" s="123" t="s">
        <v>309</v>
      </c>
      <c r="B346" s="44" t="s">
        <v>16</v>
      </c>
      <c r="C346" s="19">
        <f>SUM(C347)</f>
        <v>220620.239</v>
      </c>
      <c r="D346" s="17">
        <f>SUM(D347:D347)</f>
        <v>29152.600000000002</v>
      </c>
      <c r="E346" s="141">
        <f aca="true" t="shared" si="126" ref="E346:J346">SUM(E347:E347)</f>
        <v>28315.639000000003</v>
      </c>
      <c r="F346" s="17">
        <f t="shared" si="126"/>
        <v>34113</v>
      </c>
      <c r="G346" s="17">
        <f t="shared" si="126"/>
        <v>32769</v>
      </c>
      <c r="H346" s="17">
        <f t="shared" si="126"/>
        <v>32090</v>
      </c>
      <c r="I346" s="17">
        <f t="shared" si="126"/>
        <v>32090</v>
      </c>
      <c r="J346" s="17">
        <f t="shared" si="126"/>
        <v>32090</v>
      </c>
      <c r="K346" s="74"/>
    </row>
    <row r="347" spans="1:11" s="9" customFormat="1" ht="15" customHeight="1">
      <c r="A347" s="123" t="s">
        <v>310</v>
      </c>
      <c r="B347" s="11" t="s">
        <v>7</v>
      </c>
      <c r="C347" s="17">
        <f>SUM(D347:J347)</f>
        <v>220620.239</v>
      </c>
      <c r="D347" s="16">
        <f>SUM(D350+D353+D368+D371+D374)</f>
        <v>29152.600000000002</v>
      </c>
      <c r="E347" s="142">
        <f aca="true" t="shared" si="127" ref="E347:J347">SUM(E350+E353+E368+E371+E374)</f>
        <v>28315.639000000003</v>
      </c>
      <c r="F347" s="16">
        <f t="shared" si="127"/>
        <v>34113</v>
      </c>
      <c r="G347" s="16">
        <f t="shared" si="127"/>
        <v>32769</v>
      </c>
      <c r="H347" s="16">
        <f t="shared" si="127"/>
        <v>32090</v>
      </c>
      <c r="I347" s="16">
        <f t="shared" si="127"/>
        <v>32090</v>
      </c>
      <c r="J347" s="16">
        <f t="shared" si="127"/>
        <v>32090</v>
      </c>
      <c r="K347" s="74"/>
    </row>
    <row r="348" spans="1:11" s="9" customFormat="1" ht="15" customHeight="1">
      <c r="A348" s="107"/>
      <c r="B348" s="13"/>
      <c r="C348" s="19"/>
      <c r="D348" s="16"/>
      <c r="E348" s="16"/>
      <c r="F348" s="16"/>
      <c r="G348" s="16"/>
      <c r="H348" s="16"/>
      <c r="I348" s="16"/>
      <c r="J348" s="16"/>
      <c r="K348" s="74"/>
    </row>
    <row r="349" spans="1:11" s="9" customFormat="1" ht="47.25">
      <c r="A349" s="123" t="s">
        <v>311</v>
      </c>
      <c r="B349" s="44" t="s">
        <v>61</v>
      </c>
      <c r="C349" s="19">
        <f>SUM(C350)</f>
        <v>26512</v>
      </c>
      <c r="D349" s="17">
        <f>SUM(D350)</f>
        <v>3600</v>
      </c>
      <c r="E349" s="17">
        <f aca="true" t="shared" si="128" ref="E349:J349">SUM(E350)</f>
        <v>3613</v>
      </c>
      <c r="F349" s="17">
        <f t="shared" si="128"/>
        <v>3681</v>
      </c>
      <c r="G349" s="17">
        <f t="shared" si="128"/>
        <v>3618</v>
      </c>
      <c r="H349" s="17">
        <f t="shared" si="128"/>
        <v>4000</v>
      </c>
      <c r="I349" s="17">
        <f t="shared" si="128"/>
        <v>4000</v>
      </c>
      <c r="J349" s="17">
        <f t="shared" si="128"/>
        <v>4000</v>
      </c>
      <c r="K349" s="74" t="s">
        <v>38</v>
      </c>
    </row>
    <row r="350" spans="1:11" s="9" customFormat="1" ht="15" customHeight="1">
      <c r="A350" s="123" t="s">
        <v>312</v>
      </c>
      <c r="B350" s="11" t="s">
        <v>7</v>
      </c>
      <c r="C350" s="19">
        <f>SUM(D350:J350)</f>
        <v>26512</v>
      </c>
      <c r="D350" s="16">
        <v>3600</v>
      </c>
      <c r="E350" s="16">
        <v>3613</v>
      </c>
      <c r="F350" s="16">
        <v>3681</v>
      </c>
      <c r="G350" s="16">
        <v>3618</v>
      </c>
      <c r="H350" s="16">
        <v>4000</v>
      </c>
      <c r="I350" s="16">
        <v>4000</v>
      </c>
      <c r="J350" s="16">
        <v>4000</v>
      </c>
      <c r="K350" s="74"/>
    </row>
    <row r="351" spans="1:11" s="9" customFormat="1" ht="15" customHeight="1">
      <c r="A351" s="107"/>
      <c r="B351" s="11"/>
      <c r="C351" s="19"/>
      <c r="D351" s="16"/>
      <c r="E351" s="16"/>
      <c r="F351" s="16"/>
      <c r="G351" s="16"/>
      <c r="H351" s="16"/>
      <c r="I351" s="16"/>
      <c r="J351" s="16"/>
      <c r="K351" s="74"/>
    </row>
    <row r="352" spans="1:11" s="9" customFormat="1" ht="99" customHeight="1">
      <c r="A352" s="123" t="s">
        <v>313</v>
      </c>
      <c r="B352" s="44" t="s">
        <v>353</v>
      </c>
      <c r="C352" s="19">
        <f aca="true" t="shared" si="129" ref="C352:J352">SUM(C353)</f>
        <v>188854.339</v>
      </c>
      <c r="D352" s="17">
        <f>SUM(D353)</f>
        <v>25048.7</v>
      </c>
      <c r="E352" s="141">
        <f t="shared" si="129"/>
        <v>24392.639000000003</v>
      </c>
      <c r="F352" s="17">
        <f t="shared" si="129"/>
        <v>30102</v>
      </c>
      <c r="G352" s="17">
        <f t="shared" si="129"/>
        <v>26361</v>
      </c>
      <c r="H352" s="17">
        <f t="shared" si="129"/>
        <v>27650</v>
      </c>
      <c r="I352" s="17">
        <f t="shared" si="129"/>
        <v>27650</v>
      </c>
      <c r="J352" s="17">
        <f t="shared" si="129"/>
        <v>27650</v>
      </c>
      <c r="K352" s="74" t="s">
        <v>37</v>
      </c>
    </row>
    <row r="353" spans="1:11" s="9" customFormat="1" ht="15" customHeight="1">
      <c r="A353" s="123" t="s">
        <v>314</v>
      </c>
      <c r="B353" s="11" t="s">
        <v>7</v>
      </c>
      <c r="C353" s="19">
        <f>SUM(D353:J353)</f>
        <v>188854.339</v>
      </c>
      <c r="D353" s="17">
        <f>SUM(D356+D359+D362+D365)</f>
        <v>25048.7</v>
      </c>
      <c r="E353" s="17">
        <f aca="true" t="shared" si="130" ref="E353:J353">SUM(E356+E359+E362+E365)</f>
        <v>24392.639000000003</v>
      </c>
      <c r="F353" s="17">
        <f t="shared" si="130"/>
        <v>30102</v>
      </c>
      <c r="G353" s="17">
        <f t="shared" si="130"/>
        <v>26361</v>
      </c>
      <c r="H353" s="17">
        <f t="shared" si="130"/>
        <v>27650</v>
      </c>
      <c r="I353" s="17">
        <f t="shared" si="130"/>
        <v>27650</v>
      </c>
      <c r="J353" s="17">
        <f t="shared" si="130"/>
        <v>27650</v>
      </c>
      <c r="K353" s="74"/>
    </row>
    <row r="354" spans="1:11" s="9" customFormat="1" ht="15" customHeight="1">
      <c r="A354" s="123"/>
      <c r="B354" s="11"/>
      <c r="C354" s="19"/>
      <c r="D354" s="16"/>
      <c r="E354" s="142"/>
      <c r="F354" s="16"/>
      <c r="G354" s="16"/>
      <c r="H354" s="16"/>
      <c r="I354" s="16"/>
      <c r="J354" s="16"/>
      <c r="K354" s="74"/>
    </row>
    <row r="355" spans="1:11" s="9" customFormat="1" ht="51" customHeight="1">
      <c r="A355" s="123" t="s">
        <v>315</v>
      </c>
      <c r="B355" s="11" t="s">
        <v>354</v>
      </c>
      <c r="C355" s="150">
        <f aca="true" t="shared" si="131" ref="C355:J355">SUM(C356)</f>
        <v>15439.7</v>
      </c>
      <c r="D355" s="151">
        <f t="shared" si="131"/>
        <v>1933.7</v>
      </c>
      <c r="E355" s="151">
        <f t="shared" si="131"/>
        <v>2043</v>
      </c>
      <c r="F355" s="151">
        <f t="shared" si="131"/>
        <v>2432</v>
      </c>
      <c r="G355" s="151">
        <f t="shared" si="131"/>
        <v>2311</v>
      </c>
      <c r="H355" s="151">
        <f t="shared" si="131"/>
        <v>2240</v>
      </c>
      <c r="I355" s="151">
        <f t="shared" si="131"/>
        <v>2240</v>
      </c>
      <c r="J355" s="151">
        <f t="shared" si="131"/>
        <v>2240</v>
      </c>
      <c r="K355" s="74" t="s">
        <v>37</v>
      </c>
    </row>
    <row r="356" spans="1:11" s="9" customFormat="1" ht="15" customHeight="1">
      <c r="A356" s="123" t="s">
        <v>316</v>
      </c>
      <c r="B356" s="11" t="s">
        <v>7</v>
      </c>
      <c r="C356" s="150">
        <f>SUM(D356:J356)</f>
        <v>15439.7</v>
      </c>
      <c r="D356" s="151">
        <f>2033-99.3</f>
        <v>1933.7</v>
      </c>
      <c r="E356" s="151">
        <v>2043</v>
      </c>
      <c r="F356" s="151">
        <v>2432</v>
      </c>
      <c r="G356" s="151">
        <v>2311</v>
      </c>
      <c r="H356" s="151">
        <v>2240</v>
      </c>
      <c r="I356" s="151">
        <v>2240</v>
      </c>
      <c r="J356" s="151">
        <v>2240</v>
      </c>
      <c r="K356" s="74"/>
    </row>
    <row r="357" spans="1:11" s="9" customFormat="1" ht="15" customHeight="1">
      <c r="A357" s="123"/>
      <c r="B357" s="11"/>
      <c r="C357" s="150"/>
      <c r="D357" s="151"/>
      <c r="E357" s="152"/>
      <c r="F357" s="151"/>
      <c r="G357" s="151"/>
      <c r="H357" s="151"/>
      <c r="I357" s="151"/>
      <c r="J357" s="151"/>
      <c r="K357" s="74"/>
    </row>
    <row r="358" spans="1:11" s="9" customFormat="1" ht="50.25" customHeight="1">
      <c r="A358" s="123" t="s">
        <v>317</v>
      </c>
      <c r="B358" s="11" t="s">
        <v>355</v>
      </c>
      <c r="C358" s="150">
        <f aca="true" t="shared" si="132" ref="C358:J358">SUM(C359)</f>
        <v>220</v>
      </c>
      <c r="D358" s="95">
        <f t="shared" si="132"/>
        <v>0</v>
      </c>
      <c r="E358" s="151">
        <f t="shared" si="132"/>
        <v>220</v>
      </c>
      <c r="F358" s="151">
        <f t="shared" si="132"/>
        <v>0</v>
      </c>
      <c r="G358" s="151">
        <f t="shared" si="132"/>
        <v>0</v>
      </c>
      <c r="H358" s="151">
        <f t="shared" si="132"/>
        <v>0</v>
      </c>
      <c r="I358" s="151">
        <f t="shared" si="132"/>
        <v>0</v>
      </c>
      <c r="J358" s="151">
        <f t="shared" si="132"/>
        <v>0</v>
      </c>
      <c r="K358" s="74" t="s">
        <v>36</v>
      </c>
    </row>
    <row r="359" spans="1:11" s="9" customFormat="1" ht="15" customHeight="1">
      <c r="A359" s="123" t="s">
        <v>318</v>
      </c>
      <c r="B359" s="11" t="s">
        <v>7</v>
      </c>
      <c r="C359" s="150">
        <f>SUM(D359:J359)</f>
        <v>220</v>
      </c>
      <c r="D359" s="95">
        <f>140-140</f>
        <v>0</v>
      </c>
      <c r="E359" s="95">
        <f>279-59</f>
        <v>220</v>
      </c>
      <c r="F359" s="151">
        <v>0</v>
      </c>
      <c r="G359" s="151">
        <v>0</v>
      </c>
      <c r="H359" s="151">
        <v>0</v>
      </c>
      <c r="I359" s="151">
        <v>0</v>
      </c>
      <c r="J359" s="151">
        <v>0</v>
      </c>
      <c r="K359" s="74"/>
    </row>
    <row r="360" spans="1:11" s="9" customFormat="1" ht="15" customHeight="1">
      <c r="A360" s="123"/>
      <c r="B360" s="11"/>
      <c r="C360" s="150"/>
      <c r="D360" s="151"/>
      <c r="E360" s="152"/>
      <c r="F360" s="151"/>
      <c r="G360" s="151"/>
      <c r="H360" s="151"/>
      <c r="I360" s="151"/>
      <c r="J360" s="151"/>
      <c r="K360" s="74"/>
    </row>
    <row r="361" spans="1:11" s="9" customFormat="1" ht="53.25" customHeight="1">
      <c r="A361" s="123" t="s">
        <v>319</v>
      </c>
      <c r="B361" s="11" t="s">
        <v>356</v>
      </c>
      <c r="C361" s="150">
        <f aca="true" t="shared" si="133" ref="C361:J361">SUM(C362)</f>
        <v>97074.626</v>
      </c>
      <c r="D361" s="151">
        <f t="shared" si="133"/>
        <v>12833</v>
      </c>
      <c r="E361" s="153">
        <f t="shared" si="133"/>
        <v>12168.626</v>
      </c>
      <c r="F361" s="151">
        <f t="shared" si="133"/>
        <v>13446</v>
      </c>
      <c r="G361" s="151">
        <f t="shared" si="133"/>
        <v>13897</v>
      </c>
      <c r="H361" s="151">
        <f t="shared" si="133"/>
        <v>14910</v>
      </c>
      <c r="I361" s="151">
        <f t="shared" si="133"/>
        <v>14910</v>
      </c>
      <c r="J361" s="151">
        <f t="shared" si="133"/>
        <v>14910</v>
      </c>
      <c r="K361" s="74" t="s">
        <v>36</v>
      </c>
    </row>
    <row r="362" spans="1:11" s="9" customFormat="1" ht="15" customHeight="1">
      <c r="A362" s="123" t="s">
        <v>320</v>
      </c>
      <c r="B362" s="11" t="s">
        <v>7</v>
      </c>
      <c r="C362" s="150">
        <f>SUM(D362:J362)</f>
        <v>97074.626</v>
      </c>
      <c r="D362" s="95">
        <f>12743+90</f>
        <v>12833</v>
      </c>
      <c r="E362" s="153">
        <f>12201-277.9+245.5+0.026</f>
        <v>12168.626</v>
      </c>
      <c r="F362" s="151">
        <v>13446</v>
      </c>
      <c r="G362" s="151">
        <v>13897</v>
      </c>
      <c r="H362" s="151">
        <v>14910</v>
      </c>
      <c r="I362" s="151">
        <v>14910</v>
      </c>
      <c r="J362" s="151">
        <v>14910</v>
      </c>
      <c r="K362" s="74"/>
    </row>
    <row r="363" spans="1:11" s="9" customFormat="1" ht="15" customHeight="1">
      <c r="A363" s="123"/>
      <c r="B363" s="11"/>
      <c r="C363" s="150"/>
      <c r="D363" s="151"/>
      <c r="E363" s="152"/>
      <c r="F363" s="151"/>
      <c r="G363" s="151"/>
      <c r="H363" s="151"/>
      <c r="I363" s="151"/>
      <c r="J363" s="151"/>
      <c r="K363" s="74"/>
    </row>
    <row r="364" spans="1:11" s="9" customFormat="1" ht="48" customHeight="1">
      <c r="A364" s="123" t="s">
        <v>321</v>
      </c>
      <c r="B364" s="11" t="s">
        <v>357</v>
      </c>
      <c r="C364" s="150">
        <f aca="true" t="shared" si="134" ref="C364:J364">SUM(C365)</f>
        <v>76120.013</v>
      </c>
      <c r="D364" s="151">
        <f t="shared" si="134"/>
        <v>10282</v>
      </c>
      <c r="E364" s="151">
        <f t="shared" si="134"/>
        <v>9961.013</v>
      </c>
      <c r="F364" s="151">
        <f t="shared" si="134"/>
        <v>14224</v>
      </c>
      <c r="G364" s="151">
        <f t="shared" si="134"/>
        <v>10153</v>
      </c>
      <c r="H364" s="151">
        <f t="shared" si="134"/>
        <v>10500</v>
      </c>
      <c r="I364" s="151">
        <f t="shared" si="134"/>
        <v>10500</v>
      </c>
      <c r="J364" s="151">
        <f t="shared" si="134"/>
        <v>10500</v>
      </c>
      <c r="K364" s="74" t="s">
        <v>349</v>
      </c>
    </row>
    <row r="365" spans="1:11" s="9" customFormat="1" ht="15" customHeight="1">
      <c r="A365" s="123" t="s">
        <v>322</v>
      </c>
      <c r="B365" s="11" t="s">
        <v>7</v>
      </c>
      <c r="C365" s="150">
        <f>SUM(D365:J365)</f>
        <v>76120.013</v>
      </c>
      <c r="D365" s="151">
        <v>10282</v>
      </c>
      <c r="E365" s="95">
        <f>9977-15.987</f>
        <v>9961.013</v>
      </c>
      <c r="F365" s="151">
        <v>14224</v>
      </c>
      <c r="G365" s="151">
        <v>10153</v>
      </c>
      <c r="H365" s="151">
        <v>10500</v>
      </c>
      <c r="I365" s="151">
        <v>10500</v>
      </c>
      <c r="J365" s="151">
        <v>10500</v>
      </c>
      <c r="K365" s="74"/>
    </row>
    <row r="366" spans="1:11" s="9" customFormat="1" ht="15" customHeight="1">
      <c r="A366" s="107"/>
      <c r="B366" s="11"/>
      <c r="C366" s="19"/>
      <c r="D366" s="16"/>
      <c r="E366" s="16"/>
      <c r="F366" s="16"/>
      <c r="G366" s="16"/>
      <c r="H366" s="16"/>
      <c r="I366" s="16"/>
      <c r="J366" s="16"/>
      <c r="K366" s="74"/>
    </row>
    <row r="367" spans="1:11" s="9" customFormat="1" ht="36.75" customHeight="1">
      <c r="A367" s="123" t="s">
        <v>323</v>
      </c>
      <c r="B367" s="44" t="s">
        <v>358</v>
      </c>
      <c r="C367" s="19">
        <f aca="true" t="shared" si="135" ref="C367:J367">SUM(C368)</f>
        <v>2070</v>
      </c>
      <c r="D367" s="36">
        <f t="shared" si="135"/>
        <v>290</v>
      </c>
      <c r="E367" s="17">
        <f t="shared" si="135"/>
        <v>230</v>
      </c>
      <c r="F367" s="17">
        <f t="shared" si="135"/>
        <v>330</v>
      </c>
      <c r="G367" s="17">
        <f t="shared" si="135"/>
        <v>230</v>
      </c>
      <c r="H367" s="17">
        <f t="shared" si="135"/>
        <v>330</v>
      </c>
      <c r="I367" s="17">
        <f t="shared" si="135"/>
        <v>330</v>
      </c>
      <c r="J367" s="17">
        <f t="shared" si="135"/>
        <v>330</v>
      </c>
      <c r="K367" s="74" t="s">
        <v>33</v>
      </c>
    </row>
    <row r="368" spans="1:11" s="9" customFormat="1" ht="15" customHeight="1">
      <c r="A368" s="123" t="s">
        <v>324</v>
      </c>
      <c r="B368" s="11" t="s">
        <v>7</v>
      </c>
      <c r="C368" s="19">
        <f>SUM(D368:J368)</f>
        <v>2070</v>
      </c>
      <c r="D368" s="53">
        <f>120+200-30</f>
        <v>290</v>
      </c>
      <c r="E368" s="53">
        <v>230</v>
      </c>
      <c r="F368" s="53">
        <f>30+300</f>
        <v>330</v>
      </c>
      <c r="G368" s="53">
        <v>230</v>
      </c>
      <c r="H368" s="53">
        <f>130+200</f>
        <v>330</v>
      </c>
      <c r="I368" s="53">
        <f>130+200</f>
        <v>330</v>
      </c>
      <c r="J368" s="53">
        <f>130+200</f>
        <v>330</v>
      </c>
      <c r="K368" s="74"/>
    </row>
    <row r="369" spans="1:11" s="9" customFormat="1" ht="15" customHeight="1">
      <c r="A369" s="107"/>
      <c r="B369" s="11"/>
      <c r="C369" s="19"/>
      <c r="D369" s="53"/>
      <c r="E369" s="16"/>
      <c r="F369" s="16"/>
      <c r="G369" s="16"/>
      <c r="H369" s="16"/>
      <c r="I369" s="16"/>
      <c r="J369" s="16"/>
      <c r="K369" s="74"/>
    </row>
    <row r="370" spans="1:11" s="9" customFormat="1" ht="96.75" customHeight="1">
      <c r="A370" s="123" t="s">
        <v>325</v>
      </c>
      <c r="B370" s="44" t="s">
        <v>362</v>
      </c>
      <c r="C370" s="19">
        <f aca="true" t="shared" si="136" ref="C370:J370">SUM(C371)</f>
        <v>473.9</v>
      </c>
      <c r="D370" s="36">
        <f t="shared" si="136"/>
        <v>133.9</v>
      </c>
      <c r="E370" s="17">
        <f t="shared" si="136"/>
        <v>0</v>
      </c>
      <c r="F370" s="17">
        <f t="shared" si="136"/>
        <v>0</v>
      </c>
      <c r="G370" s="17">
        <f t="shared" si="136"/>
        <v>160</v>
      </c>
      <c r="H370" s="17">
        <f t="shared" si="136"/>
        <v>60</v>
      </c>
      <c r="I370" s="17">
        <f t="shared" si="136"/>
        <v>60</v>
      </c>
      <c r="J370" s="17">
        <f t="shared" si="136"/>
        <v>60</v>
      </c>
      <c r="K370" s="74" t="s">
        <v>360</v>
      </c>
    </row>
    <row r="371" spans="1:11" s="9" customFormat="1" ht="15" customHeight="1">
      <c r="A371" s="123" t="s">
        <v>326</v>
      </c>
      <c r="B371" s="11" t="s">
        <v>7</v>
      </c>
      <c r="C371" s="19">
        <f>SUM(D371:J371)</f>
        <v>473.9</v>
      </c>
      <c r="D371" s="53">
        <f>160-26.1</f>
        <v>133.9</v>
      </c>
      <c r="E371" s="16">
        <v>0</v>
      </c>
      <c r="F371" s="16">
        <v>0</v>
      </c>
      <c r="G371" s="16">
        <v>160</v>
      </c>
      <c r="H371" s="16">
        <v>60</v>
      </c>
      <c r="I371" s="16">
        <v>60</v>
      </c>
      <c r="J371" s="16">
        <v>60</v>
      </c>
      <c r="K371" s="74"/>
    </row>
    <row r="372" spans="1:11" s="9" customFormat="1" ht="15" customHeight="1">
      <c r="A372" s="107"/>
      <c r="B372" s="11"/>
      <c r="C372" s="19"/>
      <c r="D372" s="53"/>
      <c r="E372" s="16"/>
      <c r="F372" s="16"/>
      <c r="G372" s="16"/>
      <c r="H372" s="16"/>
      <c r="I372" s="16"/>
      <c r="J372" s="16"/>
      <c r="K372" s="74"/>
    </row>
    <row r="373" spans="1:11" s="9" customFormat="1" ht="52.5" customHeight="1">
      <c r="A373" s="123" t="s">
        <v>327</v>
      </c>
      <c r="B373" s="44" t="s">
        <v>363</v>
      </c>
      <c r="C373" s="19">
        <f>SUM(D373:J373)</f>
        <v>2710</v>
      </c>
      <c r="D373" s="36">
        <f>SUM(D374)</f>
        <v>80</v>
      </c>
      <c r="E373" s="36">
        <f aca="true" t="shared" si="137" ref="E373:J373">SUM(E374)</f>
        <v>80</v>
      </c>
      <c r="F373" s="36">
        <f t="shared" si="137"/>
        <v>0</v>
      </c>
      <c r="G373" s="36">
        <f t="shared" si="137"/>
        <v>2400</v>
      </c>
      <c r="H373" s="36">
        <f t="shared" si="137"/>
        <v>50</v>
      </c>
      <c r="I373" s="36">
        <f t="shared" si="137"/>
        <v>50</v>
      </c>
      <c r="J373" s="36">
        <f t="shared" si="137"/>
        <v>50</v>
      </c>
      <c r="K373" s="74" t="s">
        <v>36</v>
      </c>
    </row>
    <row r="374" spans="1:11" s="9" customFormat="1" ht="15.75" customHeight="1">
      <c r="A374" s="122" t="s">
        <v>328</v>
      </c>
      <c r="B374" s="11" t="s">
        <v>7</v>
      </c>
      <c r="C374" s="19">
        <f>SUM(D374:J374)</f>
        <v>2710</v>
      </c>
      <c r="D374" s="53">
        <v>80</v>
      </c>
      <c r="E374" s="53">
        <f>200-120</f>
        <v>80</v>
      </c>
      <c r="F374" s="53">
        <v>0</v>
      </c>
      <c r="G374" s="53">
        <v>2400</v>
      </c>
      <c r="H374" s="53">
        <v>50</v>
      </c>
      <c r="I374" s="53">
        <v>50</v>
      </c>
      <c r="J374" s="53">
        <v>50</v>
      </c>
      <c r="K374" s="74"/>
    </row>
    <row r="375" spans="1:11" s="9" customFormat="1" ht="15.75" customHeight="1">
      <c r="A375" s="122"/>
      <c r="B375" s="11"/>
      <c r="C375" s="19"/>
      <c r="D375" s="53"/>
      <c r="E375" s="53"/>
      <c r="F375" s="53"/>
      <c r="G375" s="53"/>
      <c r="H375" s="53"/>
      <c r="I375" s="53"/>
      <c r="J375" s="53"/>
      <c r="K375" s="74"/>
    </row>
    <row r="376" spans="1:11" s="8" customFormat="1" ht="15" customHeight="1">
      <c r="A376" s="106"/>
      <c r="B376" s="176" t="s">
        <v>103</v>
      </c>
      <c r="C376" s="177"/>
      <c r="D376" s="177"/>
      <c r="E376" s="177"/>
      <c r="F376" s="177"/>
      <c r="G376" s="177"/>
      <c r="H376" s="177"/>
      <c r="I376" s="177"/>
      <c r="J376" s="177"/>
      <c r="K376" s="178"/>
    </row>
    <row r="377" spans="1:11" s="9" customFormat="1" ht="15.75">
      <c r="A377" s="107" t="s">
        <v>329</v>
      </c>
      <c r="B377" s="44" t="s">
        <v>104</v>
      </c>
      <c r="C377" s="19">
        <f>SUM(C378:C381)</f>
        <v>155356</v>
      </c>
      <c r="D377" s="17">
        <f>SUM(D378:D381)</f>
        <v>0</v>
      </c>
      <c r="E377" s="17">
        <f aca="true" t="shared" si="138" ref="E377:J377">SUM(E378:E381)</f>
        <v>24014</v>
      </c>
      <c r="F377" s="17">
        <f t="shared" si="138"/>
        <v>25194</v>
      </c>
      <c r="G377" s="17">
        <f t="shared" si="138"/>
        <v>26272</v>
      </c>
      <c r="H377" s="17">
        <f t="shared" si="138"/>
        <v>26512</v>
      </c>
      <c r="I377" s="17">
        <f t="shared" si="138"/>
        <v>26682</v>
      </c>
      <c r="J377" s="17">
        <f t="shared" si="138"/>
        <v>26682</v>
      </c>
      <c r="K377" s="74"/>
    </row>
    <row r="378" spans="1:11" s="9" customFormat="1" ht="15" customHeight="1">
      <c r="A378" s="123" t="s">
        <v>365</v>
      </c>
      <c r="B378" s="11" t="s">
        <v>7</v>
      </c>
      <c r="C378" s="19">
        <f>SUM(D378:J378)</f>
        <v>1560</v>
      </c>
      <c r="D378" s="23">
        <f aca="true" t="shared" si="139" ref="D378:J378">SUM(D384+D390)</f>
        <v>0</v>
      </c>
      <c r="E378" s="23">
        <f t="shared" si="139"/>
        <v>0</v>
      </c>
      <c r="F378" s="154">
        <f t="shared" si="139"/>
        <v>100</v>
      </c>
      <c r="G378" s="23">
        <f t="shared" si="139"/>
        <v>100</v>
      </c>
      <c r="H378" s="23">
        <f t="shared" si="139"/>
        <v>340</v>
      </c>
      <c r="I378" s="23">
        <f t="shared" si="139"/>
        <v>510</v>
      </c>
      <c r="J378" s="23">
        <f t="shared" si="139"/>
        <v>510</v>
      </c>
      <c r="K378" s="74"/>
    </row>
    <row r="379" spans="1:11" s="9" customFormat="1" ht="15" customHeight="1">
      <c r="A379" s="123" t="s">
        <v>366</v>
      </c>
      <c r="B379" s="11" t="s">
        <v>8</v>
      </c>
      <c r="C379" s="19">
        <f>SUM(D379:J379)</f>
        <v>0</v>
      </c>
      <c r="D379" s="23"/>
      <c r="E379" s="23"/>
      <c r="F379" s="23"/>
      <c r="G379" s="23"/>
      <c r="H379" s="23"/>
      <c r="I379" s="23"/>
      <c r="J379" s="23"/>
      <c r="K379" s="74"/>
    </row>
    <row r="380" spans="1:11" s="9" customFormat="1" ht="15" customHeight="1">
      <c r="A380" s="123" t="s">
        <v>367</v>
      </c>
      <c r="B380" s="11" t="s">
        <v>9</v>
      </c>
      <c r="C380" s="19">
        <f>SUM(D380:J380)</f>
        <v>153796</v>
      </c>
      <c r="D380" s="23">
        <f>SUM(D392)</f>
        <v>0</v>
      </c>
      <c r="E380" s="23">
        <f aca="true" t="shared" si="140" ref="E380:J380">SUM(E392)</f>
        <v>24014</v>
      </c>
      <c r="F380" s="23">
        <f t="shared" si="140"/>
        <v>25094</v>
      </c>
      <c r="G380" s="23">
        <f t="shared" si="140"/>
        <v>26172</v>
      </c>
      <c r="H380" s="23">
        <f t="shared" si="140"/>
        <v>26172</v>
      </c>
      <c r="I380" s="23">
        <f t="shared" si="140"/>
        <v>26172</v>
      </c>
      <c r="J380" s="23">
        <f t="shared" si="140"/>
        <v>26172</v>
      </c>
      <c r="K380" s="74"/>
    </row>
    <row r="381" spans="1:11" s="9" customFormat="1" ht="15" customHeight="1">
      <c r="A381" s="123" t="s">
        <v>368</v>
      </c>
      <c r="B381" s="11" t="s">
        <v>10</v>
      </c>
      <c r="C381" s="19">
        <f>SUM(D381:J381)</f>
        <v>0</v>
      </c>
      <c r="D381" s="23"/>
      <c r="E381" s="23"/>
      <c r="F381" s="23"/>
      <c r="G381" s="23"/>
      <c r="H381" s="23"/>
      <c r="I381" s="23"/>
      <c r="J381" s="23"/>
      <c r="K381" s="74"/>
    </row>
    <row r="382" spans="1:11" s="9" customFormat="1" ht="15" customHeight="1">
      <c r="A382" s="109"/>
      <c r="B382" s="173" t="s">
        <v>11</v>
      </c>
      <c r="C382" s="174"/>
      <c r="D382" s="174"/>
      <c r="E382" s="174"/>
      <c r="F382" s="174"/>
      <c r="G382" s="174"/>
      <c r="H382" s="174"/>
      <c r="I382" s="174"/>
      <c r="J382" s="174"/>
      <c r="K382" s="175"/>
    </row>
    <row r="383" spans="1:11" s="9" customFormat="1" ht="35.25" customHeight="1">
      <c r="A383" s="107" t="s">
        <v>369</v>
      </c>
      <c r="B383" s="44" t="s">
        <v>52</v>
      </c>
      <c r="C383" s="19">
        <v>0</v>
      </c>
      <c r="D383" s="17"/>
      <c r="E383" s="17"/>
      <c r="F383" s="17"/>
      <c r="G383" s="17"/>
      <c r="H383" s="17"/>
      <c r="I383" s="17"/>
      <c r="J383" s="17"/>
      <c r="K383" s="74"/>
    </row>
    <row r="384" spans="1:11" s="9" customFormat="1" ht="15" customHeight="1">
      <c r="A384" s="123" t="s">
        <v>370</v>
      </c>
      <c r="B384" s="11" t="s">
        <v>7</v>
      </c>
      <c r="C384" s="19">
        <f>SUM(D384:J384)</f>
        <v>0</v>
      </c>
      <c r="D384" s="23"/>
      <c r="E384" s="23"/>
      <c r="F384" s="23"/>
      <c r="G384" s="23"/>
      <c r="H384" s="23"/>
      <c r="I384" s="23"/>
      <c r="J384" s="23"/>
      <c r="K384" s="74"/>
    </row>
    <row r="385" spans="1:11" s="9" customFormat="1" ht="15" customHeight="1">
      <c r="A385" s="121"/>
      <c r="B385" s="160" t="s">
        <v>12</v>
      </c>
      <c r="C385" s="161"/>
      <c r="D385" s="161"/>
      <c r="E385" s="161"/>
      <c r="F385" s="161"/>
      <c r="G385" s="161"/>
      <c r="H385" s="161"/>
      <c r="I385" s="161"/>
      <c r="J385" s="161"/>
      <c r="K385" s="162"/>
    </row>
    <row r="386" spans="1:11" s="9" customFormat="1" ht="48.75" customHeight="1">
      <c r="A386" s="107" t="s">
        <v>371</v>
      </c>
      <c r="B386" s="44" t="s">
        <v>333</v>
      </c>
      <c r="C386" s="19">
        <v>0</v>
      </c>
      <c r="D386" s="17"/>
      <c r="E386" s="17"/>
      <c r="F386" s="17"/>
      <c r="G386" s="17"/>
      <c r="H386" s="17"/>
      <c r="I386" s="17"/>
      <c r="J386" s="17"/>
      <c r="K386" s="74"/>
    </row>
    <row r="387" spans="1:11" s="9" customFormat="1" ht="15" customHeight="1">
      <c r="A387" s="123" t="s">
        <v>372</v>
      </c>
      <c r="B387" s="11" t="s">
        <v>7</v>
      </c>
      <c r="C387" s="19">
        <f>SUM(D387:J387)</f>
        <v>0</v>
      </c>
      <c r="D387" s="23"/>
      <c r="E387" s="23"/>
      <c r="F387" s="23"/>
      <c r="G387" s="23"/>
      <c r="H387" s="23"/>
      <c r="I387" s="23"/>
      <c r="J387" s="23"/>
      <c r="K387" s="74"/>
    </row>
    <row r="388" spans="1:11" s="9" customFormat="1" ht="15" customHeight="1">
      <c r="A388" s="109"/>
      <c r="B388" s="173" t="s">
        <v>15</v>
      </c>
      <c r="C388" s="174"/>
      <c r="D388" s="174"/>
      <c r="E388" s="174"/>
      <c r="F388" s="174"/>
      <c r="G388" s="174"/>
      <c r="H388" s="174"/>
      <c r="I388" s="174"/>
      <c r="J388" s="174"/>
      <c r="K388" s="175"/>
    </row>
    <row r="389" spans="1:11" s="9" customFormat="1" ht="31.5">
      <c r="A389" s="107" t="s">
        <v>373</v>
      </c>
      <c r="B389" s="44" t="s">
        <v>16</v>
      </c>
      <c r="C389" s="19">
        <f>SUM(B390:C392)</f>
        <v>155356</v>
      </c>
      <c r="D389" s="17">
        <v>0</v>
      </c>
      <c r="E389" s="17">
        <f aca="true" t="shared" si="141" ref="E389:J389">SUM(E390:E392)</f>
        <v>24014</v>
      </c>
      <c r="F389" s="17">
        <f t="shared" si="141"/>
        <v>25194</v>
      </c>
      <c r="G389" s="17">
        <f t="shared" si="141"/>
        <v>26272</v>
      </c>
      <c r="H389" s="17">
        <f t="shared" si="141"/>
        <v>26512</v>
      </c>
      <c r="I389" s="17">
        <f t="shared" si="141"/>
        <v>26682</v>
      </c>
      <c r="J389" s="17">
        <f t="shared" si="141"/>
        <v>26682</v>
      </c>
      <c r="K389" s="80"/>
    </row>
    <row r="390" spans="1:11" s="9" customFormat="1" ht="15" customHeight="1">
      <c r="A390" s="123" t="s">
        <v>374</v>
      </c>
      <c r="B390" s="11" t="s">
        <v>7</v>
      </c>
      <c r="C390" s="19">
        <f>SUM(D390:J390)</f>
        <v>1560</v>
      </c>
      <c r="D390" s="23">
        <f>SUM(D398+D401+D404+D407)</f>
        <v>0</v>
      </c>
      <c r="E390" s="23">
        <f aca="true" t="shared" si="142" ref="E390:J390">SUM(E398+E401+E404+E407)</f>
        <v>0</v>
      </c>
      <c r="F390" s="23">
        <f t="shared" si="142"/>
        <v>100</v>
      </c>
      <c r="G390" s="23">
        <f t="shared" si="142"/>
        <v>100</v>
      </c>
      <c r="H390" s="23">
        <f t="shared" si="142"/>
        <v>340</v>
      </c>
      <c r="I390" s="23">
        <f t="shared" si="142"/>
        <v>510</v>
      </c>
      <c r="J390" s="23">
        <f t="shared" si="142"/>
        <v>510</v>
      </c>
      <c r="K390" s="80"/>
    </row>
    <row r="391" spans="1:11" s="9" customFormat="1" ht="15" customHeight="1">
      <c r="A391" s="123" t="s">
        <v>375</v>
      </c>
      <c r="B391" s="11" t="s">
        <v>8</v>
      </c>
      <c r="C391" s="19">
        <f>SUM(D391:J391)</f>
        <v>0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74"/>
    </row>
    <row r="392" spans="1:11" s="9" customFormat="1" ht="15" customHeight="1">
      <c r="A392" s="123" t="s">
        <v>376</v>
      </c>
      <c r="B392" s="11" t="s">
        <v>9</v>
      </c>
      <c r="C392" s="19">
        <f>SUM(D392:J392)</f>
        <v>153796</v>
      </c>
      <c r="D392" s="35">
        <f aca="true" t="shared" si="143" ref="D392:J392">SUM(D395)</f>
        <v>0</v>
      </c>
      <c r="E392" s="35">
        <f t="shared" si="143"/>
        <v>24014</v>
      </c>
      <c r="F392" s="35">
        <f t="shared" si="143"/>
        <v>25094</v>
      </c>
      <c r="G392" s="35">
        <f t="shared" si="143"/>
        <v>26172</v>
      </c>
      <c r="H392" s="35">
        <f t="shared" si="143"/>
        <v>26172</v>
      </c>
      <c r="I392" s="35">
        <f t="shared" si="143"/>
        <v>26172</v>
      </c>
      <c r="J392" s="35">
        <f t="shared" si="143"/>
        <v>26172</v>
      </c>
      <c r="K392" s="74"/>
    </row>
    <row r="393" spans="1:11" s="9" customFormat="1" ht="15" customHeight="1">
      <c r="A393" s="108"/>
      <c r="B393" s="11"/>
      <c r="C393" s="19"/>
      <c r="D393" s="35"/>
      <c r="E393" s="35"/>
      <c r="F393" s="35"/>
      <c r="G393" s="35"/>
      <c r="H393" s="35"/>
      <c r="I393" s="35"/>
      <c r="J393" s="35"/>
      <c r="K393" s="74"/>
    </row>
    <row r="394" spans="1:11" s="9" customFormat="1" ht="61.5" customHeight="1">
      <c r="A394" s="107" t="s">
        <v>377</v>
      </c>
      <c r="B394" s="44" t="s">
        <v>105</v>
      </c>
      <c r="C394" s="17">
        <f aca="true" t="shared" si="144" ref="C394:J394">SUM(C395)</f>
        <v>153796</v>
      </c>
      <c r="D394" s="36">
        <f t="shared" si="144"/>
        <v>0</v>
      </c>
      <c r="E394" s="36">
        <f t="shared" si="144"/>
        <v>24014</v>
      </c>
      <c r="F394" s="36">
        <f t="shared" si="144"/>
        <v>25094</v>
      </c>
      <c r="G394" s="36">
        <f t="shared" si="144"/>
        <v>26172</v>
      </c>
      <c r="H394" s="36">
        <f t="shared" si="144"/>
        <v>26172</v>
      </c>
      <c r="I394" s="36">
        <f t="shared" si="144"/>
        <v>26172</v>
      </c>
      <c r="J394" s="36">
        <f t="shared" si="144"/>
        <v>26172</v>
      </c>
      <c r="K394" s="74" t="s">
        <v>110</v>
      </c>
    </row>
    <row r="395" spans="1:11" s="9" customFormat="1" ht="15.75" customHeight="1">
      <c r="A395" s="123" t="s">
        <v>378</v>
      </c>
      <c r="B395" s="11" t="s">
        <v>9</v>
      </c>
      <c r="C395" s="19">
        <f>SUM(D395:J395)</f>
        <v>153796</v>
      </c>
      <c r="D395" s="35">
        <v>0</v>
      </c>
      <c r="E395" s="35">
        <v>24014</v>
      </c>
      <c r="F395" s="35">
        <v>25094</v>
      </c>
      <c r="G395" s="35">
        <v>26172</v>
      </c>
      <c r="H395" s="35">
        <v>26172</v>
      </c>
      <c r="I395" s="35">
        <v>26172</v>
      </c>
      <c r="J395" s="35">
        <v>26172</v>
      </c>
      <c r="K395" s="74"/>
    </row>
    <row r="396" spans="1:11" s="9" customFormat="1" ht="15.75" customHeight="1">
      <c r="A396" s="108"/>
      <c r="B396" s="11"/>
      <c r="C396" s="19"/>
      <c r="D396" s="35"/>
      <c r="E396" s="35"/>
      <c r="F396" s="35"/>
      <c r="G396" s="35"/>
      <c r="H396" s="35"/>
      <c r="I396" s="35"/>
      <c r="J396" s="35"/>
      <c r="K396" s="74"/>
    </row>
    <row r="397" spans="1:11" s="9" customFormat="1" ht="48" customHeight="1">
      <c r="A397" s="122" t="s">
        <v>379</v>
      </c>
      <c r="B397" s="44" t="s">
        <v>106</v>
      </c>
      <c r="C397" s="19">
        <f>SUM(D397:J397)</f>
        <v>1500</v>
      </c>
      <c r="D397" s="36">
        <v>0</v>
      </c>
      <c r="E397" s="36">
        <v>0</v>
      </c>
      <c r="F397" s="36">
        <v>100</v>
      </c>
      <c r="G397" s="36">
        <v>100</v>
      </c>
      <c r="H397" s="36">
        <v>300</v>
      </c>
      <c r="I397" s="36">
        <v>500</v>
      </c>
      <c r="J397" s="36">
        <v>500</v>
      </c>
      <c r="K397" s="74" t="s">
        <v>116</v>
      </c>
    </row>
    <row r="398" spans="1:11" s="9" customFormat="1" ht="15.75" customHeight="1">
      <c r="A398" s="122" t="s">
        <v>380</v>
      </c>
      <c r="B398" s="11" t="s">
        <v>7</v>
      </c>
      <c r="C398" s="19">
        <f>SUM(D398:J398)</f>
        <v>1500</v>
      </c>
      <c r="D398" s="53">
        <v>0</v>
      </c>
      <c r="E398" s="53">
        <v>0</v>
      </c>
      <c r="F398" s="53">
        <v>100</v>
      </c>
      <c r="G398" s="53">
        <v>100</v>
      </c>
      <c r="H398" s="53">
        <v>300</v>
      </c>
      <c r="I398" s="53">
        <v>500</v>
      </c>
      <c r="J398" s="53">
        <v>500</v>
      </c>
      <c r="K398" s="74"/>
    </row>
    <row r="399" spans="1:11" s="9" customFormat="1" ht="15.75" customHeight="1">
      <c r="A399" s="122"/>
      <c r="B399" s="11"/>
      <c r="C399" s="19"/>
      <c r="D399" s="53"/>
      <c r="E399" s="53"/>
      <c r="F399" s="53"/>
      <c r="G399" s="53"/>
      <c r="H399" s="53"/>
      <c r="I399" s="53"/>
      <c r="J399" s="53"/>
      <c r="K399" s="74"/>
    </row>
    <row r="400" spans="1:11" s="9" customFormat="1" ht="52.5" customHeight="1">
      <c r="A400" s="122" t="s">
        <v>381</v>
      </c>
      <c r="B400" s="44" t="s">
        <v>107</v>
      </c>
      <c r="C400" s="19">
        <f>SUM(D400:J400)</f>
        <v>30</v>
      </c>
      <c r="D400" s="36">
        <v>0</v>
      </c>
      <c r="E400" s="36">
        <v>0</v>
      </c>
      <c r="F400" s="36">
        <v>0</v>
      </c>
      <c r="G400" s="36">
        <v>0</v>
      </c>
      <c r="H400" s="36">
        <v>10</v>
      </c>
      <c r="I400" s="36">
        <v>10</v>
      </c>
      <c r="J400" s="36">
        <v>10</v>
      </c>
      <c r="K400" s="74" t="s">
        <v>114</v>
      </c>
    </row>
    <row r="401" spans="1:11" s="9" customFormat="1" ht="15.75" customHeight="1">
      <c r="A401" s="122" t="s">
        <v>382</v>
      </c>
      <c r="B401" s="11" t="s">
        <v>7</v>
      </c>
      <c r="C401" s="19">
        <f>SUM(D401:J401)</f>
        <v>30</v>
      </c>
      <c r="D401" s="53"/>
      <c r="E401" s="53"/>
      <c r="F401" s="53"/>
      <c r="G401" s="53"/>
      <c r="H401" s="53">
        <v>10</v>
      </c>
      <c r="I401" s="53">
        <v>10</v>
      </c>
      <c r="J401" s="53">
        <v>10</v>
      </c>
      <c r="K401" s="74"/>
    </row>
    <row r="402" spans="1:11" s="9" customFormat="1" ht="15.75" customHeight="1">
      <c r="A402" s="122"/>
      <c r="B402" s="11"/>
      <c r="C402" s="19"/>
      <c r="D402" s="53"/>
      <c r="E402" s="53"/>
      <c r="F402" s="53"/>
      <c r="G402" s="53"/>
      <c r="H402" s="53"/>
      <c r="I402" s="53"/>
      <c r="J402" s="53"/>
      <c r="K402" s="74"/>
    </row>
    <row r="403" spans="1:11" s="9" customFormat="1" ht="34.5" customHeight="1">
      <c r="A403" s="122" t="s">
        <v>383</v>
      </c>
      <c r="B403" s="44" t="s">
        <v>108</v>
      </c>
      <c r="C403" s="19">
        <v>0</v>
      </c>
      <c r="D403" s="36">
        <v>0</v>
      </c>
      <c r="E403" s="36">
        <v>0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74" t="s">
        <v>115</v>
      </c>
    </row>
    <row r="404" spans="1:11" s="9" customFormat="1" ht="15.75" customHeight="1">
      <c r="A404" s="122" t="s">
        <v>384</v>
      </c>
      <c r="B404" s="11" t="s">
        <v>7</v>
      </c>
      <c r="C404" s="19">
        <v>0</v>
      </c>
      <c r="D404" s="53"/>
      <c r="E404" s="53"/>
      <c r="F404" s="53"/>
      <c r="G404" s="53"/>
      <c r="H404" s="53"/>
      <c r="I404" s="53"/>
      <c r="J404" s="53"/>
      <c r="K404" s="74"/>
    </row>
    <row r="405" spans="1:11" s="9" customFormat="1" ht="15.75" customHeight="1">
      <c r="A405" s="122"/>
      <c r="B405" s="11"/>
      <c r="C405" s="19"/>
      <c r="D405" s="53"/>
      <c r="E405" s="53"/>
      <c r="F405" s="53"/>
      <c r="G405" s="53"/>
      <c r="H405" s="53"/>
      <c r="I405" s="53"/>
      <c r="J405" s="53"/>
      <c r="K405" s="74"/>
    </row>
    <row r="406" spans="1:11" s="9" customFormat="1" ht="49.5" customHeight="1">
      <c r="A406" s="122" t="s">
        <v>385</v>
      </c>
      <c r="B406" s="44" t="s">
        <v>109</v>
      </c>
      <c r="C406" s="19">
        <f>SUM(D406:J406)</f>
        <v>30</v>
      </c>
      <c r="D406" s="36">
        <v>0</v>
      </c>
      <c r="E406" s="36">
        <v>0</v>
      </c>
      <c r="F406" s="36">
        <v>0</v>
      </c>
      <c r="G406" s="36">
        <v>0</v>
      </c>
      <c r="H406" s="36">
        <v>30</v>
      </c>
      <c r="I406" s="36">
        <v>0</v>
      </c>
      <c r="J406" s="36">
        <v>0</v>
      </c>
      <c r="K406" s="74" t="s">
        <v>111</v>
      </c>
    </row>
    <row r="407" spans="1:11" s="9" customFormat="1" ht="15.75" customHeight="1">
      <c r="A407" s="122" t="s">
        <v>386</v>
      </c>
      <c r="B407" s="11" t="s">
        <v>7</v>
      </c>
      <c r="C407" s="19">
        <f>SUM(D407:J407)</f>
        <v>30</v>
      </c>
      <c r="D407" s="53"/>
      <c r="E407" s="53"/>
      <c r="F407" s="53"/>
      <c r="G407" s="53"/>
      <c r="H407" s="53">
        <v>30</v>
      </c>
      <c r="I407" s="53"/>
      <c r="J407" s="53"/>
      <c r="K407" s="74"/>
    </row>
    <row r="409" ht="12.75" hidden="1">
      <c r="C409" s="3" t="s">
        <v>64</v>
      </c>
    </row>
    <row r="410" spans="2:11" ht="12.75" hidden="1">
      <c r="B410" s="54" t="s">
        <v>65</v>
      </c>
      <c r="C410" s="17">
        <f aca="true" t="shared" si="145" ref="C410:C415">SUM(D410:J410)</f>
        <v>5038626.192999999</v>
      </c>
      <c r="D410" s="55">
        <f aca="true" t="shared" si="146" ref="D410:J410">SUM(D15)</f>
        <v>707299.1</v>
      </c>
      <c r="E410" s="55">
        <f t="shared" si="146"/>
        <v>709690.8929999999</v>
      </c>
      <c r="F410" s="55">
        <f t="shared" si="146"/>
        <v>601274</v>
      </c>
      <c r="G410" s="55">
        <f t="shared" si="146"/>
        <v>703983.3</v>
      </c>
      <c r="H410" s="55">
        <f t="shared" si="146"/>
        <v>776796.3</v>
      </c>
      <c r="I410" s="55">
        <f t="shared" si="146"/>
        <v>771766.3</v>
      </c>
      <c r="J410" s="55">
        <f t="shared" si="146"/>
        <v>767816.3</v>
      </c>
      <c r="K410" s="81"/>
    </row>
    <row r="411" spans="2:11" ht="12.75" hidden="1">
      <c r="B411" s="56" t="s">
        <v>66</v>
      </c>
      <c r="C411" s="57">
        <f t="shared" si="145"/>
        <v>36798.40000000001</v>
      </c>
      <c r="D411" s="58">
        <f>SUM(D206+D238+D244)</f>
        <v>36798.40000000001</v>
      </c>
      <c r="E411" s="58">
        <f aca="true" t="shared" si="147" ref="E411:J411">SUM(E206+E238)</f>
        <v>0</v>
      </c>
      <c r="F411" s="58">
        <f t="shared" si="147"/>
        <v>0</v>
      </c>
      <c r="G411" s="58">
        <f t="shared" si="147"/>
        <v>0</v>
      </c>
      <c r="H411" s="58">
        <f t="shared" si="147"/>
        <v>0</v>
      </c>
      <c r="I411" s="58">
        <f t="shared" si="147"/>
        <v>0</v>
      </c>
      <c r="J411" s="58">
        <f t="shared" si="147"/>
        <v>0</v>
      </c>
      <c r="K411" s="74"/>
    </row>
    <row r="412" spans="2:11" ht="12.75" hidden="1">
      <c r="B412" s="56" t="s">
        <v>91</v>
      </c>
      <c r="C412" s="57">
        <f t="shared" si="145"/>
        <v>49099.1</v>
      </c>
      <c r="D412" s="58">
        <f aca="true" t="shared" si="148" ref="D412:J412">SUM(D40)</f>
        <v>49099.1</v>
      </c>
      <c r="E412" s="58">
        <f t="shared" si="148"/>
        <v>0</v>
      </c>
      <c r="F412" s="58">
        <f t="shared" si="148"/>
        <v>0</v>
      </c>
      <c r="G412" s="58">
        <f t="shared" si="148"/>
        <v>0</v>
      </c>
      <c r="H412" s="58">
        <f t="shared" si="148"/>
        <v>0</v>
      </c>
      <c r="I412" s="58">
        <f t="shared" si="148"/>
        <v>0</v>
      </c>
      <c r="J412" s="58">
        <f t="shared" si="148"/>
        <v>0</v>
      </c>
      <c r="K412" s="74"/>
    </row>
    <row r="413" spans="2:11" ht="12.75" hidden="1">
      <c r="B413" s="56" t="s">
        <v>92</v>
      </c>
      <c r="C413" s="57">
        <f t="shared" si="145"/>
        <v>3103.2219999999998</v>
      </c>
      <c r="D413" s="58">
        <f aca="true" t="shared" si="149" ref="D413:J413">SUM(D113)</f>
        <v>2207</v>
      </c>
      <c r="E413" s="58">
        <f t="shared" si="149"/>
        <v>896.222</v>
      </c>
      <c r="F413" s="58">
        <f t="shared" si="149"/>
        <v>0</v>
      </c>
      <c r="G413" s="58">
        <f t="shared" si="149"/>
        <v>0</v>
      </c>
      <c r="H413" s="58">
        <f t="shared" si="149"/>
        <v>0</v>
      </c>
      <c r="I413" s="58">
        <f t="shared" si="149"/>
        <v>0</v>
      </c>
      <c r="J413" s="58">
        <f t="shared" si="149"/>
        <v>0</v>
      </c>
      <c r="K413" s="74"/>
    </row>
    <row r="414" spans="2:11" ht="12.75" hidden="1">
      <c r="B414" s="56" t="s">
        <v>70</v>
      </c>
      <c r="C414" s="57">
        <f t="shared" si="145"/>
        <v>281697.4</v>
      </c>
      <c r="D414" s="58">
        <f aca="true" t="shared" si="150" ref="D414:J414">SUM(D19)</f>
        <v>35197.4</v>
      </c>
      <c r="E414" s="58">
        <f t="shared" si="150"/>
        <v>38000</v>
      </c>
      <c r="F414" s="58">
        <f t="shared" si="150"/>
        <v>41700</v>
      </c>
      <c r="G414" s="58">
        <f t="shared" si="150"/>
        <v>41700</v>
      </c>
      <c r="H414" s="58">
        <f t="shared" si="150"/>
        <v>41700</v>
      </c>
      <c r="I414" s="58">
        <f t="shared" si="150"/>
        <v>41700</v>
      </c>
      <c r="J414" s="58">
        <f t="shared" si="150"/>
        <v>41700</v>
      </c>
      <c r="K414" s="74"/>
    </row>
    <row r="415" spans="2:11" ht="12.75" hidden="1">
      <c r="B415" s="59"/>
      <c r="C415" s="57">
        <f t="shared" si="145"/>
        <v>0</v>
      </c>
      <c r="D415" s="58"/>
      <c r="E415" s="58"/>
      <c r="F415" s="58"/>
      <c r="G415" s="58"/>
      <c r="H415" s="58"/>
      <c r="I415" s="58"/>
      <c r="J415" s="58"/>
      <c r="K415" s="74"/>
    </row>
    <row r="416" spans="2:11" ht="12.75" customHeight="1" hidden="1">
      <c r="B416" s="126"/>
      <c r="C416" s="17"/>
      <c r="D416" s="52"/>
      <c r="E416" s="52"/>
      <c r="F416" s="52"/>
      <c r="G416" s="52"/>
      <c r="H416" s="52"/>
      <c r="I416" s="52"/>
      <c r="J416" s="52"/>
      <c r="K416" s="74"/>
    </row>
    <row r="417" spans="2:11" ht="12.75" hidden="1">
      <c r="B417" s="60" t="s">
        <v>67</v>
      </c>
      <c r="C417" s="61">
        <f>SUM(D417:J417)</f>
        <v>1400</v>
      </c>
      <c r="D417" s="62">
        <v>400</v>
      </c>
      <c r="E417" s="63">
        <v>500</v>
      </c>
      <c r="F417" s="63">
        <v>500</v>
      </c>
      <c r="G417" s="63"/>
      <c r="H417" s="63"/>
      <c r="I417" s="63"/>
      <c r="J417" s="63"/>
      <c r="K417" s="74"/>
    </row>
    <row r="418" spans="2:11" ht="25.5" hidden="1">
      <c r="B418" s="66" t="s">
        <v>77</v>
      </c>
      <c r="C418" s="61">
        <f>SUM(D418:J418)</f>
        <v>199.6</v>
      </c>
      <c r="D418" s="62">
        <v>99.6</v>
      </c>
      <c r="E418" s="63">
        <v>24</v>
      </c>
      <c r="F418" s="63">
        <v>76</v>
      </c>
      <c r="G418" s="63"/>
      <c r="H418" s="63"/>
      <c r="I418" s="63"/>
      <c r="J418" s="63"/>
      <c r="K418" s="74"/>
    </row>
    <row r="419" spans="2:11" ht="12.75" hidden="1">
      <c r="B419" s="60" t="s">
        <v>68</v>
      </c>
      <c r="C419" s="61">
        <f>SUM(D419:J419)</f>
        <v>735</v>
      </c>
      <c r="D419" s="62">
        <f>243.2+248.6</f>
        <v>491.79999999999995</v>
      </c>
      <c r="E419" s="63"/>
      <c r="F419" s="63">
        <v>243.2</v>
      </c>
      <c r="G419" s="63"/>
      <c r="H419" s="63"/>
      <c r="I419" s="63"/>
      <c r="J419" s="63"/>
      <c r="K419" s="74"/>
    </row>
    <row r="420" spans="2:11" ht="25.5" customHeight="1" hidden="1">
      <c r="B420" s="66" t="s">
        <v>76</v>
      </c>
      <c r="C420" s="61">
        <f>SUM(D420:J420)</f>
        <v>390</v>
      </c>
      <c r="D420" s="62">
        <v>390</v>
      </c>
      <c r="E420" s="63"/>
      <c r="F420" s="63"/>
      <c r="G420" s="63"/>
      <c r="H420" s="63"/>
      <c r="I420" s="63"/>
      <c r="J420" s="63"/>
      <c r="K420" s="74"/>
    </row>
    <row r="421" spans="2:11" ht="25.5" customHeight="1" hidden="1">
      <c r="B421" s="66" t="s">
        <v>75</v>
      </c>
      <c r="C421" s="61">
        <f>SUM(D421:J421)</f>
        <v>14953</v>
      </c>
      <c r="D421" s="62">
        <f>8343+6610</f>
        <v>14953</v>
      </c>
      <c r="E421" s="63"/>
      <c r="F421" s="63"/>
      <c r="G421" s="63"/>
      <c r="H421" s="63"/>
      <c r="I421" s="63"/>
      <c r="J421" s="63"/>
      <c r="K421" s="74"/>
    </row>
    <row r="422" spans="2:11" ht="12.75" hidden="1">
      <c r="B422" s="126"/>
      <c r="C422" s="17"/>
      <c r="D422" s="52"/>
      <c r="E422" s="53"/>
      <c r="F422" s="53"/>
      <c r="G422" s="53"/>
      <c r="H422" s="53"/>
      <c r="I422" s="53"/>
      <c r="J422" s="53"/>
      <c r="K422" s="74"/>
    </row>
    <row r="423" spans="2:11" ht="12.75" hidden="1">
      <c r="B423" s="126" t="s">
        <v>74</v>
      </c>
      <c r="C423" s="17">
        <f>SUM(D423:J423)</f>
        <v>4685605.670999999</v>
      </c>
      <c r="D423" s="52">
        <f>SUM(D410-D411-D412-D413-D414-D415+D417+D418+D419+D420+D421)</f>
        <v>600331.6</v>
      </c>
      <c r="E423" s="52">
        <f aca="true" t="shared" si="151" ref="E423:J423">SUM(E410-E411-E412-E413-E414-E415+E417+E418+E419+E420+E421)</f>
        <v>671318.671</v>
      </c>
      <c r="F423" s="52">
        <f t="shared" si="151"/>
        <v>560393.2</v>
      </c>
      <c r="G423" s="52">
        <f t="shared" si="151"/>
        <v>662283.3</v>
      </c>
      <c r="H423" s="52">
        <f t="shared" si="151"/>
        <v>735096.3</v>
      </c>
      <c r="I423" s="52">
        <f t="shared" si="151"/>
        <v>730066.3</v>
      </c>
      <c r="J423" s="52">
        <f t="shared" si="151"/>
        <v>726116.3</v>
      </c>
      <c r="K423" s="74"/>
    </row>
    <row r="424" spans="1:11" s="3" customFormat="1" ht="38.25" hidden="1">
      <c r="A424" s="102"/>
      <c r="B424" s="85" t="s">
        <v>90</v>
      </c>
      <c r="C424" s="17">
        <f>SUM(D424:J424)</f>
        <v>1879872.9599999997</v>
      </c>
      <c r="D424" s="55">
        <f>577370.1-1100+1148+877+1245.1+750+390+248.6+8343+6610+3606.7+210.16-1207+657.7+6741-9304-896</f>
        <v>595690.3599999999</v>
      </c>
      <c r="E424" s="55">
        <f>609594.9+5000+930</f>
        <v>615524.9</v>
      </c>
      <c r="F424" s="55">
        <f>662674.7+5000+983</f>
        <v>668657.7</v>
      </c>
      <c r="G424" s="55"/>
      <c r="H424" s="55"/>
      <c r="I424" s="55"/>
      <c r="J424" s="55"/>
      <c r="K424" s="81"/>
    </row>
    <row r="425" spans="1:11" s="64" customFormat="1" ht="12.75" hidden="1">
      <c r="A425" s="102"/>
      <c r="B425" s="126" t="s">
        <v>69</v>
      </c>
      <c r="C425" s="135">
        <f>SUM(D425:J425)</f>
        <v>2805732.711</v>
      </c>
      <c r="D425" s="65">
        <f aca="true" t="shared" si="152" ref="D425:J425">D423-D424</f>
        <v>4641.240000000107</v>
      </c>
      <c r="E425" s="65">
        <f t="shared" si="152"/>
        <v>55793.77099999995</v>
      </c>
      <c r="F425" s="65">
        <f t="shared" si="152"/>
        <v>-108264.5</v>
      </c>
      <c r="G425" s="65">
        <f t="shared" si="152"/>
        <v>662283.3</v>
      </c>
      <c r="H425" s="65">
        <f t="shared" si="152"/>
        <v>735096.3</v>
      </c>
      <c r="I425" s="65">
        <f t="shared" si="152"/>
        <v>730066.3</v>
      </c>
      <c r="J425" s="65">
        <f t="shared" si="152"/>
        <v>726116.3</v>
      </c>
      <c r="K425" s="76"/>
    </row>
    <row r="426" ht="12.75" hidden="1"/>
    <row r="427" ht="12.75" hidden="1"/>
    <row r="428" spans="2:3" ht="12.75" hidden="1">
      <c r="B428" s="84" t="s">
        <v>71</v>
      </c>
      <c r="C428" s="3" t="s">
        <v>72</v>
      </c>
    </row>
    <row r="429" ht="12.75" hidden="1"/>
    <row r="430" ht="12.75" hidden="1">
      <c r="B430" s="125" t="s">
        <v>89</v>
      </c>
    </row>
    <row r="431" ht="12.75" hidden="1"/>
    <row r="432" ht="12.75" hidden="1"/>
  </sheetData>
  <sheetProtection/>
  <mergeCells count="37">
    <mergeCell ref="B388:K388"/>
    <mergeCell ref="B139:K139"/>
    <mergeCell ref="B171:K171"/>
    <mergeCell ref="B260:K260"/>
    <mergeCell ref="B265:K265"/>
    <mergeCell ref="B270:K270"/>
    <mergeCell ref="B279:K279"/>
    <mergeCell ref="B301:K301"/>
    <mergeCell ref="B382:K382"/>
    <mergeCell ref="B385:K385"/>
    <mergeCell ref="I5:K5"/>
    <mergeCell ref="B376:K376"/>
    <mergeCell ref="C12:J12"/>
    <mergeCell ref="H6:K6"/>
    <mergeCell ref="A8:K8"/>
    <mergeCell ref="A9:K9"/>
    <mergeCell ref="B45:K45"/>
    <mergeCell ref="B58:K58"/>
    <mergeCell ref="B333:K333"/>
    <mergeCell ref="B289:K289"/>
    <mergeCell ref="B345:K345"/>
    <mergeCell ref="B33:K33"/>
    <mergeCell ref="B39:K39"/>
    <mergeCell ref="B321:K321"/>
    <mergeCell ref="B65:K65"/>
    <mergeCell ref="B133:K133"/>
    <mergeCell ref="B327:K327"/>
    <mergeCell ref="B337:K337"/>
    <mergeCell ref="B156:K156"/>
    <mergeCell ref="B295:K295"/>
    <mergeCell ref="B298:K298"/>
    <mergeCell ref="A10:K10"/>
    <mergeCell ref="C13:C14"/>
    <mergeCell ref="B12:B14"/>
    <mergeCell ref="A12:A14"/>
    <mergeCell ref="B145:K145"/>
    <mergeCell ref="K12:K13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0" r:id="rId1"/>
  <rowBreaks count="13" manualBreakCount="13">
    <brk id="44" max="10" man="1"/>
    <brk id="81" max="10" man="1"/>
    <brk id="111" max="10" man="1"/>
    <brk id="144" max="10" man="1"/>
    <brk id="170" max="10" man="1"/>
    <brk id="206" max="10" man="1"/>
    <brk id="237" max="10" man="1"/>
    <brk id="259" max="10" man="1"/>
    <brk id="288" max="10" man="1"/>
    <brk id="317" max="10" man="1"/>
    <brk id="344" max="10" man="1"/>
    <brk id="369" max="10" man="1"/>
    <brk id="4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2015-10-21T11:35:58Z</cp:lastPrinted>
  <dcterms:created xsi:type="dcterms:W3CDTF">2013-10-08T11:20:39Z</dcterms:created>
  <dcterms:modified xsi:type="dcterms:W3CDTF">2015-10-21T11:48:00Z</dcterms:modified>
  <cp:category/>
  <cp:version/>
  <cp:contentType/>
  <cp:contentStatus/>
</cp:coreProperties>
</file>