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5480" windowHeight="915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мероприятий'!$A$1:$K$422</definedName>
  </definedNames>
  <calcPr fullCalcOnLoad="1"/>
</workbook>
</file>

<file path=xl/sharedStrings.xml><?xml version="1.0" encoding="utf-8"?>
<sst xmlns="http://schemas.openxmlformats.org/spreadsheetml/2006/main" count="683" uniqueCount="465">
  <si>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</si>
  <si>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</si>
  <si>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</si>
  <si>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</si>
  <si>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</si>
  <si>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</si>
  <si>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</si>
  <si>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</si>
  <si>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</si>
  <si>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</si>
  <si>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</si>
  <si>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</si>
  <si>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</si>
  <si>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</si>
  <si>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</si>
  <si>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</si>
  <si>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</si>
  <si>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</si>
  <si>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</si>
  <si>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</si>
  <si>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</si>
  <si>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</si>
  <si>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</si>
  <si>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</si>
  <si>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</si>
  <si>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</si>
  <si>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</si>
  <si>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</si>
  <si>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</si>
  <si>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</si>
  <si>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</si>
  <si>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</si>
  <si>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</si>
  <si>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</si>
  <si>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</si>
  <si>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</si>
  <si>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</si>
  <si>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</si>
  <si>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</si>
  <si>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</si>
  <si>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</si>
  <si>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</si>
  <si>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</si>
  <si>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</si>
  <si>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</si>
  <si>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</si>
  <si>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</si>
  <si>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</si>
  <si>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</si>
  <si>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</si>
  <si>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</si>
  <si>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</si>
  <si>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</si>
  <si>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</si>
  <si>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</si>
  <si>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</si>
  <si>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</si>
  <si>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</si>
  <si>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</si>
  <si>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</si>
  <si>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</si>
  <si>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</si>
  <si>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</si>
  <si>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</si>
  <si>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</si>
  <si>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</si>
  <si>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</si>
  <si>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</si>
  <si>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</si>
  <si>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</si>
  <si>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</si>
  <si>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</si>
  <si>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</si>
  <si>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</si>
  <si>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</si>
  <si>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МБОУ СОШ №  2</t>
  </si>
  <si>
    <t>МБОУ СОШ №  15</t>
  </si>
  <si>
    <t>Окон, фасада, входной группы МАОУ СОШ № 1</t>
  </si>
  <si>
    <t>МАОУ СОШ № 1</t>
  </si>
  <si>
    <t>МБОУ СОШ № 2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</si>
  <si>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</si>
  <si>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</si>
  <si>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</si>
  <si>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</si>
  <si>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</si>
  <si>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</si>
  <si>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</si>
  <si>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</si>
  <si>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</si>
  <si>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</si>
  <si>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</si>
  <si>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</si>
  <si>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</si>
  <si>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</si>
  <si>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</si>
  <si>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</si>
  <si>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</si>
  <si>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</si>
  <si>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</si>
  <si>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</si>
  <si>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</si>
  <si>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</si>
  <si>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</si>
  <si>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</si>
  <si>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</si>
  <si>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</si>
  <si>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</si>
  <si>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</si>
  <si>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</si>
  <si>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</si>
  <si>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</si>
  <si>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</si>
  <si>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</si>
  <si>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</si>
  <si>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</si>
  <si>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</si>
  <si>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</si>
  <si>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</si>
  <si>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</si>
  <si>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</si>
  <si>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</si>
  <si>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</si>
  <si>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</si>
  <si>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>282</t>
  </si>
  <si>
    <t>283</t>
  </si>
  <si>
    <t>284</t>
  </si>
  <si>
    <t>285</t>
  </si>
  <si>
    <t>286</t>
  </si>
  <si>
    <t>287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</si>
  <si>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</si>
  <si>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</si>
  <si>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</si>
  <si>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</si>
  <si>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</si>
  <si>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</si>
  <si>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</si>
  <si>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</si>
  <si>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</si>
  <si>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</si>
  <si>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</si>
  <si>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</si>
  <si>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>288</t>
  </si>
  <si>
    <t>289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</si>
  <si>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</si>
  <si>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</si>
  <si>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</si>
  <si>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</si>
  <si>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</si>
  <si>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</si>
  <si>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290</t>
  </si>
  <si>
    <t>291</t>
  </si>
  <si>
    <t>292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</si>
  <si>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</si>
  <si>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</si>
  <si>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</si>
  <si>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</si>
  <si>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</si>
  <si>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</si>
  <si>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</si>
  <si>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</si>
  <si>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</si>
  <si>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</si>
  <si>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</si>
  <si>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</si>
  <si>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</si>
  <si>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</si>
  <si>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</si>
  <si>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</si>
  <si>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</si>
  <si>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</si>
  <si>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</si>
  <si>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</si>
  <si>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</si>
  <si>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</si>
  <si>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</si>
  <si>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</si>
  <si>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</si>
  <si>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</si>
  <si>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</si>
  <si>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</si>
  <si>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</si>
  <si>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</si>
  <si>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</si>
  <si>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</si>
  <si>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</si>
  <si>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</si>
  <si>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</si>
  <si>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</si>
  <si>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</si>
  <si>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>было</t>
  </si>
  <si>
    <t xml:space="preserve">четвертый                              год </t>
  </si>
  <si>
    <t>36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</si>
  <si>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</si>
  <si>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37</t>
  </si>
  <si>
    <t>38</t>
  </si>
  <si>
    <t>Реконструкция кровли МАДОУ № 5</t>
  </si>
  <si>
    <t>Кровли МАДОУ № 3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</si>
  <si>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</si>
  <si>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</si>
  <si>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</si>
  <si>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</si>
  <si>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</si>
  <si>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</si>
  <si>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</si>
  <si>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</si>
  <si>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</si>
  <si>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</si>
  <si>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</si>
  <si>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</si>
  <si>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</si>
  <si>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</si>
  <si>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</si>
  <si>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</si>
  <si>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</si>
  <si>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</si>
  <si>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</si>
  <si>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</si>
  <si>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</si>
  <si>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</si>
  <si>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</si>
  <si>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</si>
  <si>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</si>
  <si>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</si>
  <si>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</si>
  <si>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</si>
  <si>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</si>
  <si>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</si>
  <si>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</si>
  <si>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</si>
  <si>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</si>
  <si>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</si>
  <si>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</si>
  <si>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</si>
  <si>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</si>
  <si>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</si>
  <si>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</si>
  <si>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</si>
  <si>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</si>
  <si>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</si>
  <si>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</si>
  <si>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</si>
  <si>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</si>
  <si>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</si>
  <si>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</si>
  <si>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</si>
  <si>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</si>
  <si>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</si>
  <si>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</si>
  <si>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</si>
  <si>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</si>
  <si>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</si>
  <si>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</si>
  <si>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</si>
  <si>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</si>
  <si>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</si>
  <si>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</si>
  <si>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</si>
  <si>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</si>
  <si>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</si>
  <si>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</si>
  <si>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</si>
  <si>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</si>
  <si>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</si>
  <si>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</si>
  <si>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</si>
  <si>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</si>
  <si>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</si>
  <si>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</si>
  <si>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</si>
  <si>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</si>
  <si>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</si>
  <si>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</si>
  <si>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</si>
  <si>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</si>
  <si>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</si>
  <si>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</si>
  <si>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</si>
  <si>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</si>
  <si>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</si>
  <si>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</si>
  <si>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</si>
  <si>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</si>
  <si>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</si>
  <si>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</si>
  <si>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</si>
  <si>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</si>
  <si>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</si>
  <si>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</si>
  <si>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</si>
  <si>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</si>
  <si>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</si>
  <si>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</si>
  <si>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</si>
  <si>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</si>
  <si>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</si>
  <si>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</si>
  <si>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</si>
  <si>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</si>
  <si>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</si>
  <si>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</si>
  <si>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</si>
  <si>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</si>
  <si>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</si>
  <si>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</si>
  <si>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</si>
  <si>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</si>
  <si>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</si>
  <si>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</si>
  <si>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</si>
  <si>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</si>
  <si>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</si>
  <si>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</si>
  <si>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</si>
  <si>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</si>
  <si>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</si>
  <si>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</si>
  <si>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</si>
  <si>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</si>
  <si>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</si>
  <si>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</si>
  <si>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</si>
  <si>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</si>
  <si>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</si>
  <si>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</si>
  <si>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</si>
  <si>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</si>
  <si>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</si>
  <si>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</si>
  <si>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</si>
  <si>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</si>
  <si>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</si>
  <si>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</si>
  <si>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</si>
  <si>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</si>
  <si>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</si>
  <si>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</si>
  <si>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</si>
  <si>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</si>
  <si>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</si>
  <si>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</si>
  <si>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</si>
  <si>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</si>
  <si>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</si>
  <si>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</si>
  <si>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</si>
  <si>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</si>
  <si>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</si>
  <si>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</si>
  <si>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</si>
  <si>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</si>
  <si>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</si>
  <si>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</si>
  <si>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</si>
  <si>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</si>
  <si>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</si>
  <si>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</si>
  <si>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</si>
  <si>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</si>
  <si>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</si>
  <si>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</si>
  <si>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</si>
  <si>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</si>
  <si>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</si>
  <si>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</si>
  <si>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</si>
  <si>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</si>
  <si>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</si>
  <si>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</si>
  <si>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</si>
  <si>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</si>
  <si>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</si>
  <si>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</si>
  <si>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</si>
  <si>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</si>
  <si>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</si>
  <si>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</si>
  <si>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</si>
  <si>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</si>
  <si>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</si>
  <si>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</si>
  <si>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</si>
  <si>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</si>
  <si>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</si>
  <si>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</si>
  <si>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</si>
  <si>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</si>
  <si>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</si>
  <si>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</si>
  <si>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</si>
  <si>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</si>
  <si>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</si>
  <si>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</si>
  <si>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</si>
  <si>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</si>
  <si>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</si>
  <si>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</si>
  <si>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</si>
  <si>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</si>
  <si>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</si>
  <si>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</si>
  <si>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</si>
  <si>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</si>
  <si>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</si>
  <si>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</si>
  <si>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</si>
  <si>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</si>
  <si>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</si>
  <si>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</si>
  <si>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</si>
  <si>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</si>
  <si>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</si>
  <si>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</si>
  <si>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</si>
  <si>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</si>
  <si>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</si>
  <si>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</si>
  <si>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</si>
  <si>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</si>
  <si>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</si>
  <si>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</si>
  <si>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</si>
  <si>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</si>
  <si>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</si>
  <si>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</si>
  <si>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</si>
  <si>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</si>
  <si>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</si>
  <si>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</si>
  <si>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</si>
  <si>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</si>
  <si>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</si>
  <si>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</si>
  <si>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</si>
  <si>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</si>
  <si>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</si>
  <si>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</si>
  <si>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</si>
  <si>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</si>
  <si>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</si>
  <si>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</si>
  <si>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</si>
  <si>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</si>
  <si>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</si>
  <si>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</si>
  <si>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</si>
  <si>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задача 1.3, целевой показатель 4 (строка 9)</t>
  </si>
  <si>
    <t>110</t>
  </si>
  <si>
    <t>293</t>
  </si>
  <si>
    <t>Окон, мастерских МАОУ СОШ № 9</t>
  </si>
  <si>
    <t>Окон, бассейна МАОУ СОШ № 11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</si>
  <si>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</si>
  <si>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</si>
  <si>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</si>
  <si>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Системы отопления, санузлов, помещений  МБОУ СОШ № 2</t>
  </si>
  <si>
    <t>МБОУ СОШ № 4</t>
  </si>
  <si>
    <t>откл.</t>
  </si>
  <si>
    <t>294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</si>
  <si>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</si>
  <si>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</si>
  <si>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295</t>
  </si>
  <si>
    <t>296</t>
  </si>
  <si>
    <t>297</t>
  </si>
  <si>
    <t>от 07.08.2017 № 854</t>
  </si>
  <si>
    <t>Приложение к Постановлению Администрации Североуральского городского округа</t>
  </si>
  <si>
    <t>Всего по направлению "Иные капитальные вложения",                                                                              всего, в том числе: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</si>
</sst>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5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i/>
      <sz val="11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77" fontId="1" fillId="0" borderId="10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177" fontId="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177" fontId="1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/>
    </xf>
    <xf numFmtId="177" fontId="14" fillId="0" borderId="10" xfId="0" applyNumberFormat="1" applyFont="1" applyBorder="1" applyAlignment="1">
      <alignment horizontal="right" vertical="center" wrapText="1"/>
    </xf>
    <xf numFmtId="177" fontId="14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77" fontId="15" fillId="0" borderId="10" xfId="0" applyNumberFormat="1" applyFont="1" applyBorder="1" applyAlignment="1">
      <alignment horizontal="right" vertical="center" wrapText="1"/>
    </xf>
    <xf numFmtId="177" fontId="15" fillId="33" borderId="10" xfId="0" applyNumberFormat="1" applyFont="1" applyFill="1" applyBorder="1" applyAlignment="1">
      <alignment horizontal="right" vertical="center" wrapText="1"/>
    </xf>
    <xf numFmtId="177" fontId="1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177" fontId="9" fillId="3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7" fontId="16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7" fontId="14" fillId="0" borderId="10" xfId="0" applyNumberFormat="1" applyFont="1" applyFill="1" applyBorder="1" applyAlignment="1">
      <alignment horizontal="right" vertical="center" wrapText="1"/>
    </xf>
    <xf numFmtId="182" fontId="1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82" fontId="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182" fontId="11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8" fontId="57" fillId="34" borderId="0" xfId="0" applyNumberFormat="1" applyFont="1" applyFill="1" applyAlignment="1">
      <alignment/>
    </xf>
    <xf numFmtId="0" fontId="57" fillId="34" borderId="10" xfId="0" applyNumberFormat="1" applyFont="1" applyFill="1" applyBorder="1" applyAlignment="1">
      <alignment horizontal="left" vertical="center" wrapText="1"/>
    </xf>
    <xf numFmtId="49" fontId="57" fillId="34" borderId="11" xfId="0" applyNumberFormat="1" applyFont="1" applyFill="1" applyBorder="1" applyAlignment="1">
      <alignment vertical="center" wrapText="1"/>
    </xf>
    <xf numFmtId="0" fontId="57" fillId="34" borderId="11" xfId="0" applyNumberFormat="1" applyFont="1" applyFill="1" applyBorder="1" applyAlignment="1">
      <alignment horizontal="center" vertical="center" wrapText="1"/>
    </xf>
    <xf numFmtId="0" fontId="57" fillId="34" borderId="12" xfId="0" applyNumberFormat="1" applyFont="1" applyFill="1" applyBorder="1" applyAlignment="1">
      <alignment horizontal="center" vertical="center" wrapText="1"/>
    </xf>
    <xf numFmtId="0" fontId="57" fillId="34" borderId="13" xfId="0" applyNumberFormat="1" applyFont="1" applyFill="1" applyBorder="1" applyAlignment="1">
      <alignment horizontal="center" vertical="center" wrapText="1"/>
    </xf>
    <xf numFmtId="182" fontId="57" fillId="34" borderId="10" xfId="0" applyNumberFormat="1" applyFont="1" applyFill="1" applyBorder="1" applyAlignment="1">
      <alignment horizontal="center" vertical="center" wrapText="1"/>
    </xf>
    <xf numFmtId="178" fontId="57" fillId="34" borderId="10" xfId="0" applyNumberFormat="1" applyFont="1" applyFill="1" applyBorder="1" applyAlignment="1">
      <alignment horizontal="center" vertical="center" wrapText="1"/>
    </xf>
    <xf numFmtId="0" fontId="57" fillId="34" borderId="14" xfId="0" applyNumberFormat="1" applyFont="1" applyFill="1" applyBorder="1" applyAlignment="1">
      <alignment horizontal="left" vertical="center" wrapText="1"/>
    </xf>
    <xf numFmtId="182" fontId="57" fillId="34" borderId="13" xfId="0" applyNumberFormat="1" applyFont="1" applyFill="1" applyBorder="1" applyAlignment="1">
      <alignment horizontal="right" vertical="center" wrapText="1"/>
    </xf>
    <xf numFmtId="0" fontId="57" fillId="34" borderId="0" xfId="0" applyFont="1" applyFill="1" applyAlignment="1">
      <alignment horizontal="center"/>
    </xf>
    <xf numFmtId="49" fontId="57" fillId="34" borderId="0" xfId="0" applyNumberFormat="1" applyFont="1" applyFill="1" applyAlignment="1">
      <alignment/>
    </xf>
    <xf numFmtId="0" fontId="57" fillId="34" borderId="0" xfId="0" applyFont="1" applyFill="1" applyAlignment="1">
      <alignment horizontal="left"/>
    </xf>
    <xf numFmtId="0" fontId="57" fillId="34" borderId="0" xfId="0" applyFont="1" applyFill="1" applyAlignment="1">
      <alignment/>
    </xf>
    <xf numFmtId="178" fontId="57" fillId="34" borderId="0" xfId="0" applyNumberFormat="1" applyFont="1" applyFill="1" applyAlignment="1">
      <alignment horizontal="left"/>
    </xf>
    <xf numFmtId="49" fontId="57" fillId="34" borderId="15" xfId="0" applyNumberFormat="1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49" fontId="57" fillId="34" borderId="16" xfId="0" applyNumberFormat="1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top" wrapText="1"/>
    </xf>
    <xf numFmtId="49" fontId="57" fillId="34" borderId="14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182" fontId="57" fillId="34" borderId="10" xfId="0" applyNumberFormat="1" applyFont="1" applyFill="1" applyBorder="1" applyAlignment="1">
      <alignment horizontal="right" vertical="center" wrapText="1"/>
    </xf>
    <xf numFmtId="178" fontId="57" fillId="34" borderId="10" xfId="0" applyNumberFormat="1" applyFont="1" applyFill="1" applyBorder="1" applyAlignment="1">
      <alignment horizontal="right" vertical="center" wrapText="1"/>
    </xf>
    <xf numFmtId="177" fontId="57" fillId="34" borderId="10" xfId="0" applyNumberFormat="1" applyFont="1" applyFill="1" applyBorder="1" applyAlignment="1">
      <alignment horizontal="left" vertical="center" wrapText="1"/>
    </xf>
    <xf numFmtId="178" fontId="57" fillId="34" borderId="10" xfId="0" applyNumberFormat="1" applyFont="1" applyFill="1" applyBorder="1" applyAlignment="1">
      <alignment horizontal="left"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top" wrapText="1"/>
    </xf>
    <xf numFmtId="177" fontId="58" fillId="34" borderId="10" xfId="0" applyNumberFormat="1" applyFont="1" applyFill="1" applyBorder="1" applyAlignment="1">
      <alignment horizontal="left" vertical="center" wrapText="1"/>
    </xf>
    <xf numFmtId="0" fontId="58" fillId="34" borderId="10" xfId="0" applyNumberFormat="1" applyFont="1" applyFill="1" applyBorder="1" applyAlignment="1">
      <alignment horizontal="left" vertical="center" wrapText="1"/>
    </xf>
    <xf numFmtId="178" fontId="57" fillId="34" borderId="13" xfId="0" applyNumberFormat="1" applyFont="1" applyFill="1" applyBorder="1" applyAlignment="1">
      <alignment horizontal="right" vertical="center" wrapText="1"/>
    </xf>
    <xf numFmtId="178" fontId="58" fillId="34" borderId="10" xfId="0" applyNumberFormat="1" applyFont="1" applyFill="1" applyBorder="1" applyAlignment="1">
      <alignment horizontal="right" vertical="center" wrapText="1"/>
    </xf>
    <xf numFmtId="182" fontId="58" fillId="34" borderId="10" xfId="0" applyNumberFormat="1" applyFont="1" applyFill="1" applyBorder="1" applyAlignment="1">
      <alignment horizontal="right" vertical="center" wrapText="1"/>
    </xf>
    <xf numFmtId="0" fontId="57" fillId="34" borderId="15" xfId="0" applyFont="1" applyFill="1" applyBorder="1" applyAlignment="1">
      <alignment vertical="top" wrapText="1"/>
    </xf>
    <xf numFmtId="182" fontId="58" fillId="34" borderId="13" xfId="0" applyNumberFormat="1" applyFont="1" applyFill="1" applyBorder="1" applyAlignment="1">
      <alignment horizontal="right" vertical="center" wrapText="1"/>
    </xf>
    <xf numFmtId="49" fontId="58" fillId="34" borderId="11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vertical="top" wrapText="1"/>
    </xf>
    <xf numFmtId="0" fontId="57" fillId="34" borderId="0" xfId="0" applyFont="1" applyFill="1" applyAlignment="1">
      <alignment vertical="top" wrapText="1"/>
    </xf>
    <xf numFmtId="0" fontId="58" fillId="34" borderId="15" xfId="0" applyFont="1" applyFill="1" applyBorder="1" applyAlignment="1">
      <alignment vertical="top" wrapText="1"/>
    </xf>
    <xf numFmtId="0" fontId="57" fillId="34" borderId="15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vertical="top" wrapText="1"/>
    </xf>
    <xf numFmtId="182" fontId="57" fillId="34" borderId="12" xfId="0" applyNumberFormat="1" applyFont="1" applyFill="1" applyBorder="1" applyAlignment="1">
      <alignment horizontal="right" vertical="center" wrapText="1"/>
    </xf>
    <xf numFmtId="178" fontId="57" fillId="34" borderId="12" xfId="0" applyNumberFormat="1" applyFont="1" applyFill="1" applyBorder="1" applyAlignment="1">
      <alignment horizontal="right" vertical="center" wrapText="1"/>
    </xf>
    <xf numFmtId="0" fontId="57" fillId="34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5"/>
  <sheetViews>
    <sheetView tabSelected="1" view="pageLayout" zoomScaleSheetLayoutView="100" workbookViewId="0" topLeftCell="E1">
      <selection activeCell="B90" sqref="B90"/>
    </sheetView>
  </sheetViews>
  <sheetFormatPr defaultColWidth="9.00390625" defaultRowHeight="12.75"/>
  <cols>
    <col min="1" max="1" width="7.00390625" style="48" customWidth="1"/>
    <col min="2" max="2" width="66.75390625" style="41" customWidth="1"/>
    <col min="3" max="3" width="15.375" style="3" customWidth="1"/>
    <col min="4" max="4" width="13.125" style="0" customWidth="1"/>
    <col min="5" max="5" width="13.625" style="0" customWidth="1"/>
    <col min="6" max="6" width="13.75390625" style="50" customWidth="1"/>
    <col min="7" max="7" width="14.125" style="0" customWidth="1"/>
    <col min="8" max="10" width="14.25390625" style="0" customWidth="1"/>
    <col min="11" max="11" width="30.375" style="33" customWidth="1"/>
    <col min="12" max="12" width="17.125" style="0" customWidth="1"/>
    <col min="13" max="13" width="17.75390625" style="0" customWidth="1"/>
  </cols>
  <sheetData>
    <row r="1" spans="1:11" s="1" customFormat="1" ht="15.75">
      <c r="A1" s="48"/>
      <c r="B1" s="2"/>
      <c r="C1" s="43"/>
      <c r="F1" s="49"/>
      <c r="G1" s="38"/>
      <c r="H1" s="59" t="s">
        <v>463</v>
      </c>
      <c r="I1" s="59"/>
      <c r="J1" s="59"/>
      <c r="K1" s="59"/>
    </row>
    <row r="2" spans="1:11" s="1" customFormat="1" ht="15.75">
      <c r="A2" s="48"/>
      <c r="B2" s="37"/>
      <c r="C2" s="44"/>
      <c r="E2" s="32"/>
      <c r="F2" s="46"/>
      <c r="G2" s="32"/>
      <c r="H2" s="59" t="s">
        <v>462</v>
      </c>
      <c r="I2" s="59"/>
      <c r="J2" s="59"/>
      <c r="K2" s="59"/>
    </row>
    <row r="3" spans="1:11" s="1" customFormat="1" ht="15.75">
      <c r="A3" s="48"/>
      <c r="B3" s="37"/>
      <c r="C3" s="44"/>
      <c r="D3" s="47"/>
      <c r="E3" s="32"/>
      <c r="F3" s="46"/>
      <c r="G3" s="32"/>
      <c r="H3" s="59" t="s">
        <v>450</v>
      </c>
      <c r="I3" s="59"/>
      <c r="J3" s="59"/>
      <c r="K3" s="59"/>
    </row>
    <row r="4" spans="1:11" s="1" customFormat="1" ht="15.75">
      <c r="A4" s="48"/>
      <c r="B4" s="37"/>
      <c r="C4" s="44"/>
      <c r="E4" s="32"/>
      <c r="F4" s="46"/>
      <c r="G4" s="32"/>
      <c r="H4" s="59" t="s">
        <v>143</v>
      </c>
      <c r="I4" s="59"/>
      <c r="J4" s="59"/>
      <c r="K4" s="59"/>
    </row>
    <row r="5" spans="1:11" s="1" customFormat="1" ht="15.75">
      <c r="A5" s="48"/>
      <c r="B5" s="37"/>
      <c r="C5" s="44"/>
      <c r="D5" s="47"/>
      <c r="E5" s="32"/>
      <c r="F5" s="46"/>
      <c r="G5" s="32"/>
      <c r="H5" s="59" t="s">
        <v>144</v>
      </c>
      <c r="I5" s="59"/>
      <c r="J5" s="59"/>
      <c r="K5" s="59"/>
    </row>
    <row r="6" spans="1:11" s="1" customFormat="1" ht="15.75">
      <c r="A6" s="48"/>
      <c r="B6" s="37"/>
      <c r="C6" s="44"/>
      <c r="E6" s="32"/>
      <c r="F6" s="46"/>
      <c r="G6" s="32"/>
      <c r="H6" s="60"/>
      <c r="I6" s="60"/>
      <c r="J6" s="60"/>
      <c r="K6" s="60"/>
    </row>
    <row r="7" spans="1:11" s="1" customFormat="1" ht="15">
      <c r="A7" s="48"/>
      <c r="B7" s="37"/>
      <c r="C7" s="54"/>
      <c r="E7" s="32"/>
      <c r="F7" s="46"/>
      <c r="G7" s="32"/>
      <c r="H7" s="60"/>
      <c r="I7" s="60"/>
      <c r="J7" s="60"/>
      <c r="K7" s="60"/>
    </row>
    <row r="8" spans="1:11" s="1" customFormat="1" ht="15.75">
      <c r="A8" s="71" t="s">
        <v>140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" customFormat="1" ht="15.75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" customFormat="1" ht="15.75">
      <c r="A10" s="71" t="s">
        <v>71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" customFormat="1" ht="15.75">
      <c r="A11" s="72"/>
      <c r="B11" s="73"/>
      <c r="C11" s="61"/>
      <c r="D11" s="74"/>
      <c r="E11" s="74"/>
      <c r="F11" s="74"/>
      <c r="G11" s="74"/>
      <c r="H11" s="74"/>
      <c r="I11" s="61"/>
      <c r="J11" s="61"/>
      <c r="K11" s="75"/>
    </row>
    <row r="12" spans="1:11" s="3" customFormat="1" ht="26.25" customHeight="1">
      <c r="A12" s="76" t="s">
        <v>3</v>
      </c>
      <c r="B12" s="77" t="s">
        <v>90</v>
      </c>
      <c r="C12" s="78" t="s">
        <v>89</v>
      </c>
      <c r="D12" s="79"/>
      <c r="E12" s="79"/>
      <c r="F12" s="79"/>
      <c r="G12" s="79"/>
      <c r="H12" s="79"/>
      <c r="I12" s="79"/>
      <c r="J12" s="80"/>
      <c r="K12" s="77" t="s">
        <v>6</v>
      </c>
    </row>
    <row r="13" spans="1:11" s="3" customFormat="1" ht="30.75" customHeight="1">
      <c r="A13" s="81"/>
      <c r="B13" s="82"/>
      <c r="C13" s="77" t="s">
        <v>5</v>
      </c>
      <c r="D13" s="83" t="s">
        <v>92</v>
      </c>
      <c r="E13" s="83" t="s">
        <v>93</v>
      </c>
      <c r="F13" s="83" t="s">
        <v>94</v>
      </c>
      <c r="G13" s="83" t="s">
        <v>190</v>
      </c>
      <c r="H13" s="83" t="s">
        <v>95</v>
      </c>
      <c r="I13" s="83" t="s">
        <v>96</v>
      </c>
      <c r="J13" s="83" t="s">
        <v>97</v>
      </c>
      <c r="K13" s="82"/>
    </row>
    <row r="14" spans="1:13" s="3" customFormat="1" ht="15.75" customHeight="1">
      <c r="A14" s="84"/>
      <c r="B14" s="85"/>
      <c r="C14" s="85"/>
      <c r="D14" s="83">
        <v>2014</v>
      </c>
      <c r="E14" s="83">
        <v>2015</v>
      </c>
      <c r="F14" s="83">
        <v>2016</v>
      </c>
      <c r="G14" s="83">
        <v>2017</v>
      </c>
      <c r="H14" s="83">
        <v>2018</v>
      </c>
      <c r="I14" s="83">
        <v>2019</v>
      </c>
      <c r="J14" s="83">
        <v>2020</v>
      </c>
      <c r="K14" s="85"/>
      <c r="L14" s="58" t="s">
        <v>189</v>
      </c>
      <c r="M14" s="58" t="s">
        <v>455</v>
      </c>
    </row>
    <row r="15" spans="1:13" s="9" customFormat="1" ht="30" customHeight="1">
      <c r="A15" s="86">
        <v>1</v>
      </c>
      <c r="B15" s="62" t="s">
        <v>41</v>
      </c>
      <c r="C15" s="87">
        <f>SUM(D15:J15)</f>
        <v>4935745.77919</v>
      </c>
      <c r="D15" s="88">
        <f aca="true" t="shared" si="0" ref="D15:J15">SUM(D16:D19)</f>
        <v>707299.138</v>
      </c>
      <c r="E15" s="88">
        <f t="shared" si="0"/>
        <v>713636.937</v>
      </c>
      <c r="F15" s="87">
        <f t="shared" si="0"/>
        <v>704438.8596000001</v>
      </c>
      <c r="G15" s="87">
        <f t="shared" si="0"/>
        <v>703585.34459</v>
      </c>
      <c r="H15" s="87">
        <f t="shared" si="0"/>
        <v>698008.4</v>
      </c>
      <c r="I15" s="87">
        <f t="shared" si="0"/>
        <v>699840.2</v>
      </c>
      <c r="J15" s="87">
        <f t="shared" si="0"/>
        <v>708936.9</v>
      </c>
      <c r="K15" s="89"/>
      <c r="L15" s="55">
        <f>SUM(L16:L19)</f>
        <v>706700.90259</v>
      </c>
      <c r="M15" s="52">
        <f>SUM(M16:M19)</f>
        <v>-3115.55799999999</v>
      </c>
    </row>
    <row r="16" spans="1:13" s="10" customFormat="1" ht="15" customHeight="1">
      <c r="A16" s="86">
        <v>2</v>
      </c>
      <c r="B16" s="62" t="s">
        <v>7</v>
      </c>
      <c r="C16" s="87">
        <f>SUM(C22+C28)</f>
        <v>1892164.3721899998</v>
      </c>
      <c r="D16" s="88">
        <f>SUM(D22+D28)</f>
        <v>315595.163</v>
      </c>
      <c r="E16" s="88">
        <f aca="true" t="shared" si="1" ref="E16:F19">SUM(E22+E28)</f>
        <v>323285.155</v>
      </c>
      <c r="F16" s="87">
        <f t="shared" si="1"/>
        <v>237126.25960000002</v>
      </c>
      <c r="G16" s="87">
        <f aca="true" t="shared" si="2" ref="G16:J19">SUM(G22+G28)</f>
        <v>250805.89458999998</v>
      </c>
      <c r="H16" s="87">
        <f t="shared" si="2"/>
        <v>248181.20000000004</v>
      </c>
      <c r="I16" s="87">
        <f t="shared" si="2"/>
        <v>250013</v>
      </c>
      <c r="J16" s="87">
        <f t="shared" si="2"/>
        <v>267157.7</v>
      </c>
      <c r="K16" s="90"/>
      <c r="L16" s="56">
        <v>252057.60259</v>
      </c>
      <c r="M16" s="57">
        <f>G16-L16</f>
        <v>-1251.7080000000133</v>
      </c>
    </row>
    <row r="17" spans="1:13" s="10" customFormat="1" ht="15" customHeight="1">
      <c r="A17" s="86">
        <v>3</v>
      </c>
      <c r="B17" s="62" t="s">
        <v>8</v>
      </c>
      <c r="C17" s="87">
        <f>SUM(C23+C29)</f>
        <v>20310.906</v>
      </c>
      <c r="D17" s="88">
        <f aca="true" t="shared" si="3" ref="C17:D19">SUM(D23+D29)</f>
        <v>13957.775</v>
      </c>
      <c r="E17" s="88">
        <f>SUM(E23+E29)</f>
        <v>2441.431</v>
      </c>
      <c r="F17" s="87">
        <f t="shared" si="1"/>
        <v>3911.7</v>
      </c>
      <c r="G17" s="87">
        <f t="shared" si="2"/>
        <v>0</v>
      </c>
      <c r="H17" s="87">
        <f t="shared" si="2"/>
        <v>0</v>
      </c>
      <c r="I17" s="87">
        <f t="shared" si="2"/>
        <v>0</v>
      </c>
      <c r="J17" s="87">
        <f t="shared" si="2"/>
        <v>0</v>
      </c>
      <c r="K17" s="90"/>
      <c r="L17" s="56"/>
      <c r="M17" s="57">
        <f>G17-L17</f>
        <v>0</v>
      </c>
    </row>
    <row r="18" spans="1:13" s="10" customFormat="1" ht="15" customHeight="1">
      <c r="A18" s="86">
        <v>4</v>
      </c>
      <c r="B18" s="62" t="s">
        <v>9</v>
      </c>
      <c r="C18" s="87">
        <f>SUM(C24+C30)</f>
        <v>2731573.1010000003</v>
      </c>
      <c r="D18" s="88">
        <f>SUM(D24+D30)</f>
        <v>342548.8</v>
      </c>
      <c r="E18" s="88">
        <f>SUM(E24+E30)</f>
        <v>349910.351</v>
      </c>
      <c r="F18" s="87">
        <f>SUM(F24+F30)</f>
        <v>421700.9</v>
      </c>
      <c r="G18" s="87">
        <f t="shared" si="2"/>
        <v>408579.45</v>
      </c>
      <c r="H18" s="87">
        <f t="shared" si="2"/>
        <v>405627.2</v>
      </c>
      <c r="I18" s="87">
        <f t="shared" si="2"/>
        <v>405627.2</v>
      </c>
      <c r="J18" s="87">
        <f t="shared" si="2"/>
        <v>397579.2</v>
      </c>
      <c r="K18" s="90"/>
      <c r="L18" s="56">
        <v>410443.3</v>
      </c>
      <c r="M18" s="57">
        <f>G18-L18</f>
        <v>-1863.8499999999767</v>
      </c>
    </row>
    <row r="19" spans="1:13" s="10" customFormat="1" ht="15" customHeight="1">
      <c r="A19" s="86">
        <v>5</v>
      </c>
      <c r="B19" s="62" t="s">
        <v>10</v>
      </c>
      <c r="C19" s="87">
        <f t="shared" si="3"/>
        <v>291697.4</v>
      </c>
      <c r="D19" s="88">
        <f t="shared" si="3"/>
        <v>35197.4</v>
      </c>
      <c r="E19" s="88">
        <f t="shared" si="1"/>
        <v>38000</v>
      </c>
      <c r="F19" s="87">
        <f t="shared" si="1"/>
        <v>41700</v>
      </c>
      <c r="G19" s="87">
        <f t="shared" si="2"/>
        <v>44200</v>
      </c>
      <c r="H19" s="87">
        <f t="shared" si="2"/>
        <v>44200</v>
      </c>
      <c r="I19" s="87">
        <f t="shared" si="2"/>
        <v>44200</v>
      </c>
      <c r="J19" s="87">
        <f t="shared" si="2"/>
        <v>44200</v>
      </c>
      <c r="K19" s="90"/>
      <c r="L19" s="56">
        <v>44200</v>
      </c>
      <c r="M19" s="57">
        <f>G19-L19</f>
        <v>0</v>
      </c>
    </row>
    <row r="20" spans="1:11" s="10" customFormat="1" ht="15" customHeight="1">
      <c r="A20" s="86"/>
      <c r="B20" s="62"/>
      <c r="C20" s="67"/>
      <c r="D20" s="68"/>
      <c r="E20" s="68"/>
      <c r="F20" s="67"/>
      <c r="G20" s="67"/>
      <c r="H20" s="67"/>
      <c r="I20" s="67"/>
      <c r="J20" s="67"/>
      <c r="K20" s="62"/>
    </row>
    <row r="21" spans="1:11" s="11" customFormat="1" ht="30" customHeight="1">
      <c r="A21" s="86">
        <v>6</v>
      </c>
      <c r="B21" s="62" t="s">
        <v>25</v>
      </c>
      <c r="C21" s="67">
        <f>SUM(C22:C25)</f>
        <v>154805.855</v>
      </c>
      <c r="D21" s="68">
        <f aca="true" t="shared" si="4" ref="D21:J21">SUM(D22:D25)</f>
        <v>54205.854999999996</v>
      </c>
      <c r="E21" s="68">
        <f t="shared" si="4"/>
        <v>7500</v>
      </c>
      <c r="F21" s="67">
        <f t="shared" si="4"/>
        <v>10000</v>
      </c>
      <c r="G21" s="67">
        <f t="shared" si="4"/>
        <v>18000</v>
      </c>
      <c r="H21" s="67">
        <f t="shared" si="4"/>
        <v>15000</v>
      </c>
      <c r="I21" s="67">
        <f t="shared" si="4"/>
        <v>16100</v>
      </c>
      <c r="J21" s="67">
        <f t="shared" si="4"/>
        <v>34000</v>
      </c>
      <c r="K21" s="89"/>
    </row>
    <row r="22" spans="1:11" s="10" customFormat="1" ht="15" customHeight="1">
      <c r="A22" s="86">
        <v>7</v>
      </c>
      <c r="B22" s="62" t="s">
        <v>7</v>
      </c>
      <c r="C22" s="87">
        <f aca="true" t="shared" si="5" ref="C22:J22">SUM(C41+C135+C286+C311+C344+C399)</f>
        <v>106694.55500000001</v>
      </c>
      <c r="D22" s="88">
        <f t="shared" si="5"/>
        <v>6094.555</v>
      </c>
      <c r="E22" s="88">
        <f t="shared" si="5"/>
        <v>7500</v>
      </c>
      <c r="F22" s="87">
        <f t="shared" si="5"/>
        <v>10000</v>
      </c>
      <c r="G22" s="87">
        <f t="shared" si="5"/>
        <v>18000</v>
      </c>
      <c r="H22" s="87">
        <f t="shared" si="5"/>
        <v>15000</v>
      </c>
      <c r="I22" s="87">
        <f t="shared" si="5"/>
        <v>16100</v>
      </c>
      <c r="J22" s="87">
        <f t="shared" si="5"/>
        <v>34000</v>
      </c>
      <c r="K22" s="90"/>
    </row>
    <row r="23" spans="1:11" s="10" customFormat="1" ht="15" customHeight="1">
      <c r="A23" s="86">
        <v>8</v>
      </c>
      <c r="B23" s="62" t="s">
        <v>8</v>
      </c>
      <c r="C23" s="87">
        <f aca="true" t="shared" si="6" ref="C23:J23">SUM(C42+C345)</f>
        <v>12802.1</v>
      </c>
      <c r="D23" s="88">
        <f t="shared" si="6"/>
        <v>12802.1</v>
      </c>
      <c r="E23" s="88">
        <f t="shared" si="6"/>
        <v>0</v>
      </c>
      <c r="F23" s="87">
        <f t="shared" si="6"/>
        <v>0</v>
      </c>
      <c r="G23" s="87">
        <f t="shared" si="6"/>
        <v>0</v>
      </c>
      <c r="H23" s="87">
        <f t="shared" si="6"/>
        <v>0</v>
      </c>
      <c r="I23" s="87">
        <f t="shared" si="6"/>
        <v>0</v>
      </c>
      <c r="J23" s="87">
        <f t="shared" si="6"/>
        <v>0</v>
      </c>
      <c r="K23" s="90"/>
    </row>
    <row r="24" spans="1:11" s="10" customFormat="1" ht="15" customHeight="1">
      <c r="A24" s="86">
        <v>9</v>
      </c>
      <c r="B24" s="62" t="s">
        <v>9</v>
      </c>
      <c r="C24" s="87">
        <f aca="true" t="shared" si="7" ref="C24:J24">SUM(C43+C282+C346)</f>
        <v>35309.2</v>
      </c>
      <c r="D24" s="88">
        <f t="shared" si="7"/>
        <v>35309.2</v>
      </c>
      <c r="E24" s="88">
        <f t="shared" si="7"/>
        <v>0</v>
      </c>
      <c r="F24" s="87">
        <f t="shared" si="7"/>
        <v>0</v>
      </c>
      <c r="G24" s="87">
        <f t="shared" si="7"/>
        <v>0</v>
      </c>
      <c r="H24" s="87">
        <f t="shared" si="7"/>
        <v>0</v>
      </c>
      <c r="I24" s="87">
        <f t="shared" si="7"/>
        <v>0</v>
      </c>
      <c r="J24" s="87">
        <f t="shared" si="7"/>
        <v>0</v>
      </c>
      <c r="K24" s="90"/>
    </row>
    <row r="25" spans="1:11" s="10" customFormat="1" ht="15" customHeight="1">
      <c r="A25" s="86">
        <v>10</v>
      </c>
      <c r="B25" s="62" t="s">
        <v>10</v>
      </c>
      <c r="C25" s="87">
        <f>SUM(D25:J25)</f>
        <v>0</v>
      </c>
      <c r="D25" s="88">
        <f>SUM(D44)</f>
        <v>0</v>
      </c>
      <c r="E25" s="88">
        <f aca="true" t="shared" si="8" ref="E25:J25">SUM(E44)</f>
        <v>0</v>
      </c>
      <c r="F25" s="87">
        <f t="shared" si="8"/>
        <v>0</v>
      </c>
      <c r="G25" s="87">
        <f t="shared" si="8"/>
        <v>0</v>
      </c>
      <c r="H25" s="87">
        <f t="shared" si="8"/>
        <v>0</v>
      </c>
      <c r="I25" s="87">
        <f t="shared" si="8"/>
        <v>0</v>
      </c>
      <c r="J25" s="87">
        <f t="shared" si="8"/>
        <v>0</v>
      </c>
      <c r="K25" s="90"/>
    </row>
    <row r="26" spans="1:11" s="10" customFormat="1" ht="15" customHeight="1">
      <c r="A26" s="86"/>
      <c r="B26" s="62"/>
      <c r="C26" s="67"/>
      <c r="D26" s="68"/>
      <c r="E26" s="68"/>
      <c r="F26" s="67"/>
      <c r="G26" s="67"/>
      <c r="H26" s="67"/>
      <c r="I26" s="67"/>
      <c r="J26" s="67"/>
      <c r="K26" s="62"/>
    </row>
    <row r="27" spans="1:11" s="11" customFormat="1" ht="30" customHeight="1">
      <c r="A27" s="86">
        <v>11</v>
      </c>
      <c r="B27" s="62" t="s">
        <v>72</v>
      </c>
      <c r="C27" s="67">
        <f>SUM(C28:C31)</f>
        <v>4780939.924190001</v>
      </c>
      <c r="D27" s="68">
        <f aca="true" t="shared" si="9" ref="D27:J27">SUM(D28:D31)</f>
        <v>653093.2829999999</v>
      </c>
      <c r="E27" s="68">
        <f t="shared" si="9"/>
        <v>706136.937</v>
      </c>
      <c r="F27" s="67">
        <f t="shared" si="9"/>
        <v>694438.8596000001</v>
      </c>
      <c r="G27" s="67">
        <f t="shared" si="9"/>
        <v>685585.34459</v>
      </c>
      <c r="H27" s="67">
        <f t="shared" si="9"/>
        <v>683008.4</v>
      </c>
      <c r="I27" s="67">
        <f t="shared" si="9"/>
        <v>683740.2</v>
      </c>
      <c r="J27" s="67">
        <f t="shared" si="9"/>
        <v>674936.9</v>
      </c>
      <c r="K27" s="89"/>
    </row>
    <row r="28" spans="1:11" s="10" customFormat="1" ht="15" customHeight="1">
      <c r="A28" s="86">
        <v>12</v>
      </c>
      <c r="B28" s="62" t="s">
        <v>7</v>
      </c>
      <c r="C28" s="87">
        <f>SUM(D28:J28)</f>
        <v>1785469.8171899999</v>
      </c>
      <c r="D28" s="88">
        <f aca="true" t="shared" si="10" ref="D28:J28">SUM(D72+D167+D295+D317+D362+D405)</f>
        <v>309500.608</v>
      </c>
      <c r="E28" s="88">
        <f t="shared" si="10"/>
        <v>315785.155</v>
      </c>
      <c r="F28" s="87">
        <f t="shared" si="10"/>
        <v>227126.25960000002</v>
      </c>
      <c r="G28" s="87">
        <f t="shared" si="10"/>
        <v>232805.89458999998</v>
      </c>
      <c r="H28" s="87">
        <f t="shared" si="10"/>
        <v>233181.20000000004</v>
      </c>
      <c r="I28" s="87">
        <f t="shared" si="10"/>
        <v>233913</v>
      </c>
      <c r="J28" s="87">
        <f t="shared" si="10"/>
        <v>233157.7</v>
      </c>
      <c r="K28" s="90"/>
    </row>
    <row r="29" spans="1:11" s="10" customFormat="1" ht="15" customHeight="1">
      <c r="A29" s="86">
        <v>13</v>
      </c>
      <c r="B29" s="62" t="s">
        <v>8</v>
      </c>
      <c r="C29" s="87">
        <f>SUM(D29:J29)</f>
        <v>7508.806</v>
      </c>
      <c r="D29" s="88">
        <f aca="true" t="shared" si="11" ref="D29:J29">SUM(D73+D168+D318+D406)</f>
        <v>1155.675</v>
      </c>
      <c r="E29" s="88">
        <f t="shared" si="11"/>
        <v>2441.431</v>
      </c>
      <c r="F29" s="87">
        <f t="shared" si="11"/>
        <v>3911.7</v>
      </c>
      <c r="G29" s="87">
        <f t="shared" si="11"/>
        <v>0</v>
      </c>
      <c r="H29" s="87">
        <f t="shared" si="11"/>
        <v>0</v>
      </c>
      <c r="I29" s="87">
        <f t="shared" si="11"/>
        <v>0</v>
      </c>
      <c r="J29" s="87">
        <f t="shared" si="11"/>
        <v>0</v>
      </c>
      <c r="K29" s="90"/>
    </row>
    <row r="30" spans="1:11" s="10" customFormat="1" ht="15" customHeight="1">
      <c r="A30" s="86">
        <v>14</v>
      </c>
      <c r="B30" s="62" t="s">
        <v>9</v>
      </c>
      <c r="C30" s="87">
        <f>SUM(D30:J30)</f>
        <v>2696263.901</v>
      </c>
      <c r="D30" s="88">
        <f aca="true" t="shared" si="12" ref="D30:J30">SUM(D74+D169+D277+D319+D410)</f>
        <v>307239.6</v>
      </c>
      <c r="E30" s="88">
        <f t="shared" si="12"/>
        <v>349910.351</v>
      </c>
      <c r="F30" s="87">
        <f t="shared" si="12"/>
        <v>421700.9</v>
      </c>
      <c r="G30" s="87">
        <f t="shared" si="12"/>
        <v>408579.45</v>
      </c>
      <c r="H30" s="87">
        <f t="shared" si="12"/>
        <v>405627.2</v>
      </c>
      <c r="I30" s="87">
        <f t="shared" si="12"/>
        <v>405627.2</v>
      </c>
      <c r="J30" s="87">
        <f t="shared" si="12"/>
        <v>397579.2</v>
      </c>
      <c r="K30" s="90"/>
    </row>
    <row r="31" spans="1:11" s="10" customFormat="1" ht="15" customHeight="1">
      <c r="A31" s="86">
        <v>15</v>
      </c>
      <c r="B31" s="62" t="s">
        <v>10</v>
      </c>
      <c r="C31" s="87">
        <f>SUM(D31:J31)</f>
        <v>291697.4</v>
      </c>
      <c r="D31" s="88">
        <f aca="true" t="shared" si="13" ref="D31:J31">SUM(D75+D170)</f>
        <v>35197.4</v>
      </c>
      <c r="E31" s="88">
        <f t="shared" si="13"/>
        <v>38000</v>
      </c>
      <c r="F31" s="87">
        <f t="shared" si="13"/>
        <v>41700</v>
      </c>
      <c r="G31" s="87">
        <f t="shared" si="13"/>
        <v>44200</v>
      </c>
      <c r="H31" s="87">
        <f t="shared" si="13"/>
        <v>44200</v>
      </c>
      <c r="I31" s="87">
        <f t="shared" si="13"/>
        <v>44200</v>
      </c>
      <c r="J31" s="87">
        <f t="shared" si="13"/>
        <v>44200</v>
      </c>
      <c r="K31" s="90"/>
    </row>
    <row r="32" spans="1:11" s="10" customFormat="1" ht="15" customHeight="1">
      <c r="A32" s="86"/>
      <c r="B32" s="62"/>
      <c r="C32" s="67"/>
      <c r="D32" s="68"/>
      <c r="E32" s="68"/>
      <c r="F32" s="68"/>
      <c r="G32" s="67"/>
      <c r="H32" s="67"/>
      <c r="I32" s="67"/>
      <c r="J32" s="67"/>
      <c r="K32" s="62"/>
    </row>
    <row r="33" spans="1:11" s="4" customFormat="1" ht="15" customHeight="1">
      <c r="A33" s="63"/>
      <c r="B33" s="64" t="s">
        <v>0</v>
      </c>
      <c r="C33" s="65"/>
      <c r="D33" s="65"/>
      <c r="E33" s="65"/>
      <c r="F33" s="65"/>
      <c r="G33" s="65"/>
      <c r="H33" s="65"/>
      <c r="I33" s="65"/>
      <c r="J33" s="65"/>
      <c r="K33" s="66"/>
    </row>
    <row r="34" spans="1:11" s="15" customFormat="1" ht="33" customHeight="1">
      <c r="A34" s="91">
        <v>16</v>
      </c>
      <c r="B34" s="92" t="s">
        <v>14</v>
      </c>
      <c r="C34" s="70">
        <f>SUM(C35:C38)</f>
        <v>2010406.591</v>
      </c>
      <c r="D34" s="88">
        <f>SUM(D35:D38)</f>
        <v>286746.642</v>
      </c>
      <c r="E34" s="88">
        <f aca="true" t="shared" si="14" ref="E34:J34">SUM(E35:E38)</f>
        <v>313283.712</v>
      </c>
      <c r="F34" s="87">
        <f t="shared" si="14"/>
        <v>268895.537</v>
      </c>
      <c r="G34" s="87">
        <f t="shared" si="14"/>
        <v>279783.7</v>
      </c>
      <c r="H34" s="87">
        <f t="shared" si="14"/>
        <v>285899</v>
      </c>
      <c r="I34" s="87">
        <f t="shared" si="14"/>
        <v>286899</v>
      </c>
      <c r="J34" s="87">
        <f t="shared" si="14"/>
        <v>288899</v>
      </c>
      <c r="K34" s="93"/>
    </row>
    <row r="35" spans="1:11" s="5" customFormat="1" ht="15" customHeight="1">
      <c r="A35" s="91">
        <v>17</v>
      </c>
      <c r="B35" s="92" t="s">
        <v>7</v>
      </c>
      <c r="C35" s="70">
        <f>SUM(D35:J35)</f>
        <v>691552.491</v>
      </c>
      <c r="D35" s="88">
        <f aca="true" t="shared" si="15" ref="D35:J35">SUM(D41+D72)</f>
        <v>108807.342</v>
      </c>
      <c r="E35" s="88">
        <f t="shared" si="15"/>
        <v>144100.712</v>
      </c>
      <c r="F35" s="87">
        <f t="shared" si="15"/>
        <v>79206.73700000001</v>
      </c>
      <c r="G35" s="87">
        <f t="shared" si="15"/>
        <v>91947.7</v>
      </c>
      <c r="H35" s="87">
        <f t="shared" si="15"/>
        <v>87830</v>
      </c>
      <c r="I35" s="87">
        <f t="shared" si="15"/>
        <v>88830</v>
      </c>
      <c r="J35" s="87">
        <f t="shared" si="15"/>
        <v>90830</v>
      </c>
      <c r="K35" s="62"/>
    </row>
    <row r="36" spans="1:11" s="5" customFormat="1" ht="15" customHeight="1">
      <c r="A36" s="91">
        <v>18</v>
      </c>
      <c r="B36" s="92" t="s">
        <v>8</v>
      </c>
      <c r="C36" s="70">
        <f>SUM(D36:J36)</f>
        <v>12802.1</v>
      </c>
      <c r="D36" s="88">
        <f>SUM(D42)</f>
        <v>12802.1</v>
      </c>
      <c r="E36" s="88">
        <f aca="true" t="shared" si="16" ref="E36:J36">SUM(E42)</f>
        <v>0</v>
      </c>
      <c r="F36" s="87">
        <f t="shared" si="16"/>
        <v>0</v>
      </c>
      <c r="G36" s="87">
        <f t="shared" si="16"/>
        <v>0</v>
      </c>
      <c r="H36" s="87">
        <f t="shared" si="16"/>
        <v>0</v>
      </c>
      <c r="I36" s="87">
        <f t="shared" si="16"/>
        <v>0</v>
      </c>
      <c r="J36" s="87">
        <f t="shared" si="16"/>
        <v>0</v>
      </c>
      <c r="K36" s="62"/>
    </row>
    <row r="37" spans="1:11" s="5" customFormat="1" ht="15" customHeight="1">
      <c r="A37" s="91">
        <v>19</v>
      </c>
      <c r="B37" s="92" t="s">
        <v>9</v>
      </c>
      <c r="C37" s="70">
        <f>SUM(D37:J37)</f>
        <v>1033052</v>
      </c>
      <c r="D37" s="88">
        <f aca="true" t="shared" si="17" ref="D37:J37">SUM(D43+D74)</f>
        <v>134137.2</v>
      </c>
      <c r="E37" s="88">
        <f t="shared" si="17"/>
        <v>131183</v>
      </c>
      <c r="F37" s="87">
        <f t="shared" si="17"/>
        <v>149688.8</v>
      </c>
      <c r="G37" s="87">
        <f t="shared" si="17"/>
        <v>146836</v>
      </c>
      <c r="H37" s="87">
        <f t="shared" si="17"/>
        <v>157069</v>
      </c>
      <c r="I37" s="87">
        <f t="shared" si="17"/>
        <v>157069</v>
      </c>
      <c r="J37" s="87">
        <f t="shared" si="17"/>
        <v>157069</v>
      </c>
      <c r="K37" s="62"/>
    </row>
    <row r="38" spans="1:11" s="5" customFormat="1" ht="15" customHeight="1">
      <c r="A38" s="91">
        <v>20</v>
      </c>
      <c r="B38" s="92" t="s">
        <v>10</v>
      </c>
      <c r="C38" s="70">
        <f>SUM(D38:J38)</f>
        <v>273000</v>
      </c>
      <c r="D38" s="88">
        <f>SUM(D75)</f>
        <v>31000</v>
      </c>
      <c r="E38" s="88">
        <f aca="true" t="shared" si="18" ref="E38:J38">SUM(E75)</f>
        <v>38000</v>
      </c>
      <c r="F38" s="87">
        <f t="shared" si="18"/>
        <v>40000</v>
      </c>
      <c r="G38" s="87">
        <f t="shared" si="18"/>
        <v>41000</v>
      </c>
      <c r="H38" s="87">
        <f t="shared" si="18"/>
        <v>41000</v>
      </c>
      <c r="I38" s="87">
        <f t="shared" si="18"/>
        <v>41000</v>
      </c>
      <c r="J38" s="87">
        <f t="shared" si="18"/>
        <v>41000</v>
      </c>
      <c r="K38" s="62"/>
    </row>
    <row r="39" spans="1:11" s="5" customFormat="1" ht="15" customHeight="1">
      <c r="A39" s="63"/>
      <c r="B39" s="64" t="s">
        <v>11</v>
      </c>
      <c r="C39" s="65"/>
      <c r="D39" s="65"/>
      <c r="E39" s="65"/>
      <c r="F39" s="65"/>
      <c r="G39" s="65"/>
      <c r="H39" s="65"/>
      <c r="I39" s="65"/>
      <c r="J39" s="65"/>
      <c r="K39" s="66"/>
    </row>
    <row r="40" spans="1:11" s="15" customFormat="1" ht="31.5" customHeight="1">
      <c r="A40" s="91">
        <v>21</v>
      </c>
      <c r="B40" s="92" t="s">
        <v>98</v>
      </c>
      <c r="C40" s="70">
        <f>SUM(D40:J40)</f>
        <v>57099.123</v>
      </c>
      <c r="D40" s="88">
        <f>SUM(D41:D44)</f>
        <v>49099.123</v>
      </c>
      <c r="E40" s="88">
        <f aca="true" t="shared" si="19" ref="E40:J40">SUM(E41:E44)</f>
        <v>0</v>
      </c>
      <c r="F40" s="87">
        <f t="shared" si="19"/>
        <v>0</v>
      </c>
      <c r="G40" s="87">
        <f t="shared" si="19"/>
        <v>8000</v>
      </c>
      <c r="H40" s="87">
        <f t="shared" si="19"/>
        <v>0</v>
      </c>
      <c r="I40" s="87">
        <f t="shared" si="19"/>
        <v>0</v>
      </c>
      <c r="J40" s="87">
        <f t="shared" si="19"/>
        <v>0</v>
      </c>
      <c r="K40" s="94"/>
    </row>
    <row r="41" spans="1:11" s="5" customFormat="1" ht="15" customHeight="1">
      <c r="A41" s="91">
        <v>22</v>
      </c>
      <c r="B41" s="92" t="s">
        <v>7</v>
      </c>
      <c r="C41" s="70">
        <f>SUM(D41:J41)</f>
        <v>9737.823</v>
      </c>
      <c r="D41" s="88">
        <f aca="true" t="shared" si="20" ref="D41:J41">SUM(D47+D65)</f>
        <v>1737.823</v>
      </c>
      <c r="E41" s="88">
        <f t="shared" si="20"/>
        <v>0</v>
      </c>
      <c r="F41" s="87">
        <f t="shared" si="20"/>
        <v>0</v>
      </c>
      <c r="G41" s="87">
        <f t="shared" si="20"/>
        <v>8000</v>
      </c>
      <c r="H41" s="87">
        <f t="shared" si="20"/>
        <v>0</v>
      </c>
      <c r="I41" s="87">
        <f t="shared" si="20"/>
        <v>0</v>
      </c>
      <c r="J41" s="87">
        <f t="shared" si="20"/>
        <v>0</v>
      </c>
      <c r="K41" s="62"/>
    </row>
    <row r="42" spans="1:11" s="5" customFormat="1" ht="15" customHeight="1">
      <c r="A42" s="91">
        <v>23</v>
      </c>
      <c r="B42" s="92" t="s">
        <v>8</v>
      </c>
      <c r="C42" s="70">
        <f>SUM(D42:J42)</f>
        <v>12802.1</v>
      </c>
      <c r="D42" s="88">
        <f>SUM(D48)</f>
        <v>12802.1</v>
      </c>
      <c r="E42" s="88">
        <f aca="true" t="shared" si="21" ref="E42:J42">SUM(E48)</f>
        <v>0</v>
      </c>
      <c r="F42" s="87">
        <f t="shared" si="21"/>
        <v>0</v>
      </c>
      <c r="G42" s="87">
        <f t="shared" si="21"/>
        <v>0</v>
      </c>
      <c r="H42" s="87">
        <f t="shared" si="21"/>
        <v>0</v>
      </c>
      <c r="I42" s="87">
        <f t="shared" si="21"/>
        <v>0</v>
      </c>
      <c r="J42" s="87">
        <f t="shared" si="21"/>
        <v>0</v>
      </c>
      <c r="K42" s="62"/>
    </row>
    <row r="43" spans="1:11" s="5" customFormat="1" ht="15" customHeight="1">
      <c r="A43" s="91">
        <v>24</v>
      </c>
      <c r="B43" s="92" t="s">
        <v>9</v>
      </c>
      <c r="C43" s="70">
        <f>SUM(D43:J43)</f>
        <v>34559.2</v>
      </c>
      <c r="D43" s="88">
        <f aca="true" t="shared" si="22" ref="D43:J43">SUM(D49+D67)</f>
        <v>34559.2</v>
      </c>
      <c r="E43" s="88">
        <f t="shared" si="22"/>
        <v>0</v>
      </c>
      <c r="F43" s="87">
        <f t="shared" si="22"/>
        <v>0</v>
      </c>
      <c r="G43" s="87">
        <f t="shared" si="22"/>
        <v>0</v>
      </c>
      <c r="H43" s="87">
        <f t="shared" si="22"/>
        <v>0</v>
      </c>
      <c r="I43" s="87">
        <f t="shared" si="22"/>
        <v>0</v>
      </c>
      <c r="J43" s="87">
        <f t="shared" si="22"/>
        <v>0</v>
      </c>
      <c r="K43" s="62"/>
    </row>
    <row r="44" spans="1:11" s="5" customFormat="1" ht="15" customHeight="1">
      <c r="A44" s="91">
        <v>25</v>
      </c>
      <c r="B44" s="92" t="s">
        <v>10</v>
      </c>
      <c r="C44" s="70">
        <f>SUM(D44:J44)</f>
        <v>0</v>
      </c>
      <c r="D44" s="88"/>
      <c r="E44" s="88"/>
      <c r="F44" s="88"/>
      <c r="G44" s="87"/>
      <c r="H44" s="87"/>
      <c r="I44" s="87"/>
      <c r="J44" s="87"/>
      <c r="K44" s="62"/>
    </row>
    <row r="45" spans="1:11" s="5" customFormat="1" ht="15" customHeight="1">
      <c r="A45" s="63"/>
      <c r="B45" s="64" t="s">
        <v>12</v>
      </c>
      <c r="C45" s="65"/>
      <c r="D45" s="65"/>
      <c r="E45" s="65"/>
      <c r="F45" s="65"/>
      <c r="G45" s="65"/>
      <c r="H45" s="65"/>
      <c r="I45" s="65"/>
      <c r="J45" s="65"/>
      <c r="K45" s="66"/>
    </row>
    <row r="46" spans="1:11" s="15" customFormat="1" ht="45.75" customHeight="1">
      <c r="A46" s="91">
        <v>26</v>
      </c>
      <c r="B46" s="92" t="s">
        <v>99</v>
      </c>
      <c r="C46" s="70">
        <f>SUM(C47:C50)</f>
        <v>57099.123</v>
      </c>
      <c r="D46" s="95">
        <f aca="true" t="shared" si="23" ref="D46:J46">SUM(D47:D50)</f>
        <v>49099.123</v>
      </c>
      <c r="E46" s="95">
        <f t="shared" si="23"/>
        <v>0</v>
      </c>
      <c r="F46" s="70">
        <f t="shared" si="23"/>
        <v>0</v>
      </c>
      <c r="G46" s="70">
        <f t="shared" si="23"/>
        <v>8000</v>
      </c>
      <c r="H46" s="70">
        <f t="shared" si="23"/>
        <v>0</v>
      </c>
      <c r="I46" s="70">
        <f t="shared" si="23"/>
        <v>0</v>
      </c>
      <c r="J46" s="70">
        <f t="shared" si="23"/>
        <v>0</v>
      </c>
      <c r="K46" s="62"/>
    </row>
    <row r="47" spans="1:11" s="5" customFormat="1" ht="15" customHeight="1">
      <c r="A47" s="91">
        <v>27</v>
      </c>
      <c r="B47" s="92" t="s">
        <v>7</v>
      </c>
      <c r="C47" s="70">
        <f>SUM(D47:J47)</f>
        <v>9737.823</v>
      </c>
      <c r="D47" s="95">
        <f>SUM(D53+D59)</f>
        <v>1737.823</v>
      </c>
      <c r="E47" s="95">
        <f>SUM(E53+E59)</f>
        <v>0</v>
      </c>
      <c r="F47" s="70"/>
      <c r="G47" s="70">
        <f>SUM(G53+G59)</f>
        <v>8000</v>
      </c>
      <c r="H47" s="70"/>
      <c r="I47" s="70"/>
      <c r="J47" s="70"/>
      <c r="K47" s="62"/>
    </row>
    <row r="48" spans="1:11" s="5" customFormat="1" ht="15" customHeight="1">
      <c r="A48" s="91">
        <v>28</v>
      </c>
      <c r="B48" s="92" t="s">
        <v>8</v>
      </c>
      <c r="C48" s="70">
        <f>SUM(D48:J48)</f>
        <v>12802.1</v>
      </c>
      <c r="D48" s="95">
        <f>SUM(D54)</f>
        <v>12802.1</v>
      </c>
      <c r="E48" s="95">
        <f>SUM(E54)</f>
        <v>0</v>
      </c>
      <c r="F48" s="70"/>
      <c r="G48" s="70"/>
      <c r="H48" s="70"/>
      <c r="I48" s="70"/>
      <c r="J48" s="70"/>
      <c r="K48" s="62"/>
    </row>
    <row r="49" spans="1:11" s="5" customFormat="1" ht="15" customHeight="1">
      <c r="A49" s="91">
        <v>29</v>
      </c>
      <c r="B49" s="92" t="s">
        <v>9</v>
      </c>
      <c r="C49" s="70">
        <f>SUM(D49:J49)</f>
        <v>34559.2</v>
      </c>
      <c r="D49" s="95">
        <f>SUM(D55)</f>
        <v>34559.2</v>
      </c>
      <c r="E49" s="95">
        <f>SUM(E55)</f>
        <v>0</v>
      </c>
      <c r="F49" s="70"/>
      <c r="G49" s="70"/>
      <c r="H49" s="70"/>
      <c r="I49" s="70"/>
      <c r="J49" s="70"/>
      <c r="K49" s="62"/>
    </row>
    <row r="50" spans="1:11" s="5" customFormat="1" ht="15" customHeight="1">
      <c r="A50" s="91">
        <v>30</v>
      </c>
      <c r="B50" s="92" t="s">
        <v>10</v>
      </c>
      <c r="C50" s="70">
        <f>SUM(D50:J50)</f>
        <v>0</v>
      </c>
      <c r="D50" s="88">
        <v>0</v>
      </c>
      <c r="E50" s="88">
        <v>0</v>
      </c>
      <c r="F50" s="87"/>
      <c r="G50" s="87"/>
      <c r="H50" s="87"/>
      <c r="I50" s="87"/>
      <c r="J50" s="87"/>
      <c r="K50" s="62"/>
    </row>
    <row r="51" spans="1:11" s="5" customFormat="1" ht="15" customHeight="1">
      <c r="A51" s="91"/>
      <c r="B51" s="92"/>
      <c r="C51" s="70"/>
      <c r="D51" s="95"/>
      <c r="E51" s="95"/>
      <c r="F51" s="70"/>
      <c r="G51" s="70"/>
      <c r="H51" s="70"/>
      <c r="I51" s="70"/>
      <c r="J51" s="70"/>
      <c r="K51" s="62"/>
    </row>
    <row r="52" spans="1:11" s="5" customFormat="1" ht="50.25" customHeight="1">
      <c r="A52" s="91">
        <v>31</v>
      </c>
      <c r="B52" s="92" t="s">
        <v>103</v>
      </c>
      <c r="C52" s="70">
        <f>SUM(C53:C56)</f>
        <v>49099.123</v>
      </c>
      <c r="D52" s="95">
        <f aca="true" t="shared" si="24" ref="D52:J52">SUM(D53:D56)</f>
        <v>49099.123</v>
      </c>
      <c r="E52" s="95">
        <f t="shared" si="24"/>
        <v>0</v>
      </c>
      <c r="F52" s="70">
        <f t="shared" si="24"/>
        <v>0</v>
      </c>
      <c r="G52" s="70">
        <f t="shared" si="24"/>
        <v>0</v>
      </c>
      <c r="H52" s="70">
        <f t="shared" si="24"/>
        <v>0</v>
      </c>
      <c r="I52" s="70">
        <f t="shared" si="24"/>
        <v>0</v>
      </c>
      <c r="J52" s="70">
        <f t="shared" si="24"/>
        <v>0</v>
      </c>
      <c r="K52" s="62" t="s">
        <v>155</v>
      </c>
    </row>
    <row r="53" spans="1:11" s="5" customFormat="1" ht="15" customHeight="1">
      <c r="A53" s="91">
        <v>32</v>
      </c>
      <c r="B53" s="92" t="s">
        <v>7</v>
      </c>
      <c r="C53" s="70">
        <f>SUM(D53:J53)</f>
        <v>1737.823</v>
      </c>
      <c r="D53" s="88">
        <v>1737.823</v>
      </c>
      <c r="E53" s="88"/>
      <c r="F53" s="87"/>
      <c r="G53" s="87"/>
      <c r="H53" s="87"/>
      <c r="I53" s="87"/>
      <c r="J53" s="87"/>
      <c r="K53" s="62"/>
    </row>
    <row r="54" spans="1:11" s="5" customFormat="1" ht="15" customHeight="1">
      <c r="A54" s="91">
        <v>33</v>
      </c>
      <c r="B54" s="92" t="s">
        <v>8</v>
      </c>
      <c r="C54" s="70">
        <f>SUM(D54:J54)</f>
        <v>12802.1</v>
      </c>
      <c r="D54" s="88">
        <v>12802.1</v>
      </c>
      <c r="E54" s="88"/>
      <c r="F54" s="87"/>
      <c r="G54" s="87"/>
      <c r="H54" s="87"/>
      <c r="I54" s="87"/>
      <c r="J54" s="87"/>
      <c r="K54" s="62"/>
    </row>
    <row r="55" spans="1:11" s="5" customFormat="1" ht="15" customHeight="1">
      <c r="A55" s="91">
        <v>34</v>
      </c>
      <c r="B55" s="92" t="s">
        <v>9</v>
      </c>
      <c r="C55" s="70">
        <f>SUM(D55:J55)</f>
        <v>34559.2</v>
      </c>
      <c r="D55" s="88">
        <v>34559.2</v>
      </c>
      <c r="E55" s="88"/>
      <c r="F55" s="87"/>
      <c r="G55" s="87"/>
      <c r="H55" s="87"/>
      <c r="I55" s="87"/>
      <c r="J55" s="87"/>
      <c r="K55" s="62"/>
    </row>
    <row r="56" spans="1:11" s="5" customFormat="1" ht="15" customHeight="1">
      <c r="A56" s="91">
        <v>35</v>
      </c>
      <c r="B56" s="92" t="s">
        <v>10</v>
      </c>
      <c r="C56" s="70">
        <f>SUM(D56:J56)</f>
        <v>0</v>
      </c>
      <c r="D56" s="88">
        <v>0</v>
      </c>
      <c r="E56" s="88"/>
      <c r="F56" s="87"/>
      <c r="G56" s="87"/>
      <c r="H56" s="87"/>
      <c r="I56" s="87"/>
      <c r="J56" s="87"/>
      <c r="K56" s="62"/>
    </row>
    <row r="57" spans="1:11" s="5" customFormat="1" ht="15" customHeight="1">
      <c r="A57" s="91"/>
      <c r="B57" s="92"/>
      <c r="C57" s="70"/>
      <c r="D57" s="88"/>
      <c r="E57" s="95"/>
      <c r="F57" s="70"/>
      <c r="G57" s="70"/>
      <c r="H57" s="70"/>
      <c r="I57" s="70"/>
      <c r="J57" s="70"/>
      <c r="K57" s="62"/>
    </row>
    <row r="58" spans="1:11" s="5" customFormat="1" ht="50.25" customHeight="1">
      <c r="A58" s="91" t="s">
        <v>191</v>
      </c>
      <c r="B58" s="92" t="s">
        <v>192</v>
      </c>
      <c r="C58" s="70">
        <f>SUM(C59)</f>
        <v>8000</v>
      </c>
      <c r="D58" s="70">
        <f aca="true" t="shared" si="25" ref="D58:J58">SUM(D59)</f>
        <v>0</v>
      </c>
      <c r="E58" s="70">
        <f t="shared" si="25"/>
        <v>0</v>
      </c>
      <c r="F58" s="70">
        <f t="shared" si="25"/>
        <v>0</v>
      </c>
      <c r="G58" s="70">
        <f t="shared" si="25"/>
        <v>8000</v>
      </c>
      <c r="H58" s="70">
        <f t="shared" si="25"/>
        <v>0</v>
      </c>
      <c r="I58" s="70">
        <f t="shared" si="25"/>
        <v>0</v>
      </c>
      <c r="J58" s="70">
        <f t="shared" si="25"/>
        <v>0</v>
      </c>
      <c r="K58" s="62" t="s">
        <v>445</v>
      </c>
    </row>
    <row r="59" spans="1:11" s="5" customFormat="1" ht="15" customHeight="1">
      <c r="A59" s="91" t="s">
        <v>193</v>
      </c>
      <c r="B59" s="92" t="s">
        <v>7</v>
      </c>
      <c r="C59" s="70">
        <f>SUM(D59:J59)</f>
        <v>8000</v>
      </c>
      <c r="D59" s="88">
        <f>SUM(D61)</f>
        <v>0</v>
      </c>
      <c r="E59" s="88">
        <f aca="true" t="shared" si="26" ref="E59:J59">SUM(E61)</f>
        <v>0</v>
      </c>
      <c r="F59" s="87">
        <f t="shared" si="26"/>
        <v>0</v>
      </c>
      <c r="G59" s="87">
        <f t="shared" si="26"/>
        <v>8000</v>
      </c>
      <c r="H59" s="87">
        <f t="shared" si="26"/>
        <v>0</v>
      </c>
      <c r="I59" s="87">
        <f t="shared" si="26"/>
        <v>0</v>
      </c>
      <c r="J59" s="87">
        <f t="shared" si="26"/>
        <v>0</v>
      </c>
      <c r="K59" s="62"/>
    </row>
    <row r="60" spans="1:11" s="5" customFormat="1" ht="15" customHeight="1">
      <c r="A60" s="91"/>
      <c r="B60" s="92" t="s">
        <v>19</v>
      </c>
      <c r="C60" s="70"/>
      <c r="D60" s="88"/>
      <c r="E60" s="95"/>
      <c r="F60" s="70"/>
      <c r="G60" s="70"/>
      <c r="H60" s="70"/>
      <c r="I60" s="70"/>
      <c r="J60" s="70"/>
      <c r="K60" s="62"/>
    </row>
    <row r="61" spans="1:11" s="5" customFormat="1" ht="15" customHeight="1">
      <c r="A61" s="91" t="s">
        <v>194</v>
      </c>
      <c r="B61" s="92" t="s">
        <v>195</v>
      </c>
      <c r="C61" s="70">
        <f>SUM(D61:J61)</f>
        <v>8000</v>
      </c>
      <c r="D61" s="88"/>
      <c r="E61" s="95"/>
      <c r="F61" s="70"/>
      <c r="G61" s="70">
        <v>8000</v>
      </c>
      <c r="H61" s="70"/>
      <c r="I61" s="70"/>
      <c r="J61" s="70"/>
      <c r="K61" s="62"/>
    </row>
    <row r="62" spans="1:11" s="5" customFormat="1" ht="15" customHeight="1">
      <c r="A62" s="91"/>
      <c r="B62" s="92"/>
      <c r="C62" s="70"/>
      <c r="D62" s="88"/>
      <c r="E62" s="95"/>
      <c r="F62" s="70"/>
      <c r="G62" s="70"/>
      <c r="H62" s="70"/>
      <c r="I62" s="70"/>
      <c r="J62" s="70"/>
      <c r="K62" s="62"/>
    </row>
    <row r="63" spans="1:11" s="5" customFormat="1" ht="15" customHeight="1">
      <c r="A63" s="63"/>
      <c r="B63" s="64" t="s">
        <v>23</v>
      </c>
      <c r="C63" s="65"/>
      <c r="D63" s="65"/>
      <c r="E63" s="65"/>
      <c r="F63" s="65"/>
      <c r="G63" s="65"/>
      <c r="H63" s="65"/>
      <c r="I63" s="65"/>
      <c r="J63" s="65"/>
      <c r="K63" s="66"/>
    </row>
    <row r="64" spans="1:11" s="16" customFormat="1" ht="15">
      <c r="A64" s="91" t="s">
        <v>203</v>
      </c>
      <c r="B64" s="92" t="s">
        <v>100</v>
      </c>
      <c r="C64" s="70">
        <f>SUM(C65:C68)</f>
        <v>0</v>
      </c>
      <c r="D64" s="88">
        <f aca="true" t="shared" si="27" ref="D64:J64">SUM(D66:D68)</f>
        <v>0</v>
      </c>
      <c r="E64" s="88">
        <f>SUM(E65:E68)</f>
        <v>0</v>
      </c>
      <c r="F64" s="87">
        <f>SUM(F65:F68)</f>
        <v>0</v>
      </c>
      <c r="G64" s="87">
        <f t="shared" si="27"/>
        <v>0</v>
      </c>
      <c r="H64" s="87">
        <f t="shared" si="27"/>
        <v>0</v>
      </c>
      <c r="I64" s="87">
        <f t="shared" si="27"/>
        <v>0</v>
      </c>
      <c r="J64" s="87">
        <f t="shared" si="27"/>
        <v>0</v>
      </c>
      <c r="K64" s="94"/>
    </row>
    <row r="65" spans="1:11" s="7" customFormat="1" ht="15" customHeight="1">
      <c r="A65" s="91" t="s">
        <v>204</v>
      </c>
      <c r="B65" s="92" t="s">
        <v>7</v>
      </c>
      <c r="C65" s="70">
        <f>SUM(D65:J65)</f>
        <v>0</v>
      </c>
      <c r="D65" s="88"/>
      <c r="E65" s="88"/>
      <c r="F65" s="87"/>
      <c r="G65" s="87"/>
      <c r="H65" s="87"/>
      <c r="I65" s="87"/>
      <c r="J65" s="87"/>
      <c r="K65" s="62"/>
    </row>
    <row r="66" spans="1:11" s="13" customFormat="1" ht="15" customHeight="1">
      <c r="A66" s="91" t="s">
        <v>205</v>
      </c>
      <c r="B66" s="92" t="s">
        <v>8</v>
      </c>
      <c r="C66" s="70">
        <f>SUM(D66:J66)</f>
        <v>0</v>
      </c>
      <c r="D66" s="88"/>
      <c r="E66" s="96"/>
      <c r="F66" s="97"/>
      <c r="G66" s="97"/>
      <c r="H66" s="97"/>
      <c r="I66" s="97"/>
      <c r="J66" s="97"/>
      <c r="K66" s="94"/>
    </row>
    <row r="67" spans="1:11" s="7" customFormat="1" ht="15" customHeight="1">
      <c r="A67" s="91" t="s">
        <v>206</v>
      </c>
      <c r="B67" s="92" t="s">
        <v>9</v>
      </c>
      <c r="C67" s="70">
        <f>SUM(D67:J67)</f>
        <v>0</v>
      </c>
      <c r="D67" s="88"/>
      <c r="E67" s="88"/>
      <c r="F67" s="87"/>
      <c r="G67" s="87"/>
      <c r="H67" s="87"/>
      <c r="I67" s="87"/>
      <c r="J67" s="87"/>
      <c r="K67" s="62"/>
    </row>
    <row r="68" spans="1:11" s="7" customFormat="1" ht="15" customHeight="1">
      <c r="A68" s="91" t="s">
        <v>207</v>
      </c>
      <c r="B68" s="92" t="s">
        <v>10</v>
      </c>
      <c r="C68" s="70">
        <f>SUM(D68:J68)</f>
        <v>0</v>
      </c>
      <c r="D68" s="88"/>
      <c r="E68" s="88"/>
      <c r="F68" s="87"/>
      <c r="G68" s="87"/>
      <c r="H68" s="87"/>
      <c r="I68" s="87"/>
      <c r="J68" s="87"/>
      <c r="K68" s="62"/>
    </row>
    <row r="69" spans="1:11" s="7" customFormat="1" ht="15" customHeight="1">
      <c r="A69" s="86"/>
      <c r="B69" s="92"/>
      <c r="C69" s="87"/>
      <c r="D69" s="88"/>
      <c r="E69" s="88"/>
      <c r="F69" s="87"/>
      <c r="G69" s="87"/>
      <c r="H69" s="87"/>
      <c r="I69" s="87"/>
      <c r="J69" s="87"/>
      <c r="K69" s="62"/>
    </row>
    <row r="70" spans="1:11" s="5" customFormat="1" ht="15" customHeight="1">
      <c r="A70" s="63"/>
      <c r="B70" s="64" t="s">
        <v>15</v>
      </c>
      <c r="C70" s="65"/>
      <c r="D70" s="65"/>
      <c r="E70" s="65"/>
      <c r="F70" s="65"/>
      <c r="G70" s="65"/>
      <c r="H70" s="65"/>
      <c r="I70" s="65"/>
      <c r="J70" s="65"/>
      <c r="K70" s="66"/>
    </row>
    <row r="71" spans="1:11" s="15" customFormat="1" ht="21.75" customHeight="1">
      <c r="A71" s="91" t="s">
        <v>208</v>
      </c>
      <c r="B71" s="92" t="s">
        <v>16</v>
      </c>
      <c r="C71" s="70">
        <f>SUM(C72:C75)</f>
        <v>1953307.468</v>
      </c>
      <c r="D71" s="95">
        <f aca="true" t="shared" si="28" ref="D71:J71">SUM(D72:D75)</f>
        <v>237647.519</v>
      </c>
      <c r="E71" s="95">
        <f t="shared" si="28"/>
        <v>313283.712</v>
      </c>
      <c r="F71" s="70">
        <f t="shared" si="28"/>
        <v>268895.537</v>
      </c>
      <c r="G71" s="70">
        <f t="shared" si="28"/>
        <v>271783.7</v>
      </c>
      <c r="H71" s="70">
        <f t="shared" si="28"/>
        <v>285899</v>
      </c>
      <c r="I71" s="70">
        <f t="shared" si="28"/>
        <v>286899</v>
      </c>
      <c r="J71" s="70">
        <f t="shared" si="28"/>
        <v>288899</v>
      </c>
      <c r="K71" s="93"/>
    </row>
    <row r="72" spans="1:11" s="5" customFormat="1" ht="15" customHeight="1">
      <c r="A72" s="91" t="s">
        <v>209</v>
      </c>
      <c r="B72" s="92" t="s">
        <v>7</v>
      </c>
      <c r="C72" s="70">
        <f>SUM(D72:J72)</f>
        <v>681814.6680000001</v>
      </c>
      <c r="D72" s="88">
        <f aca="true" t="shared" si="29" ref="D72:J72">SUM(D78+D87+D102+D107+D110)</f>
        <v>107069.519</v>
      </c>
      <c r="E72" s="88">
        <f t="shared" si="29"/>
        <v>144100.712</v>
      </c>
      <c r="F72" s="87">
        <f t="shared" si="29"/>
        <v>79206.73700000001</v>
      </c>
      <c r="G72" s="87">
        <f t="shared" si="29"/>
        <v>83947.7</v>
      </c>
      <c r="H72" s="87">
        <f t="shared" si="29"/>
        <v>87830</v>
      </c>
      <c r="I72" s="87">
        <f t="shared" si="29"/>
        <v>88830</v>
      </c>
      <c r="J72" s="87">
        <f t="shared" si="29"/>
        <v>90830</v>
      </c>
      <c r="K72" s="62"/>
    </row>
    <row r="73" spans="1:11" s="5" customFormat="1" ht="15" customHeight="1">
      <c r="A73" s="91" t="s">
        <v>210</v>
      </c>
      <c r="B73" s="92" t="s">
        <v>8</v>
      </c>
      <c r="C73" s="70">
        <f>SUM(D73:J73)</f>
        <v>0</v>
      </c>
      <c r="D73" s="88"/>
      <c r="E73" s="88"/>
      <c r="F73" s="87"/>
      <c r="G73" s="87"/>
      <c r="H73" s="87"/>
      <c r="I73" s="87"/>
      <c r="J73" s="87"/>
      <c r="K73" s="62"/>
    </row>
    <row r="74" spans="1:11" s="5" customFormat="1" ht="15" customHeight="1">
      <c r="A74" s="91" t="s">
        <v>211</v>
      </c>
      <c r="B74" s="92" t="s">
        <v>9</v>
      </c>
      <c r="C74" s="70">
        <f>SUM(D74:J74)</f>
        <v>998492.8</v>
      </c>
      <c r="D74" s="95">
        <f aca="true" t="shared" si="30" ref="D74:J74">SUM(D88+D99+D103+D111)</f>
        <v>99578</v>
      </c>
      <c r="E74" s="95">
        <f t="shared" si="30"/>
        <v>131183</v>
      </c>
      <c r="F74" s="70">
        <f t="shared" si="30"/>
        <v>149688.8</v>
      </c>
      <c r="G74" s="70">
        <f t="shared" si="30"/>
        <v>146836</v>
      </c>
      <c r="H74" s="70">
        <f t="shared" si="30"/>
        <v>157069</v>
      </c>
      <c r="I74" s="70">
        <f t="shared" si="30"/>
        <v>157069</v>
      </c>
      <c r="J74" s="70">
        <f t="shared" si="30"/>
        <v>157069</v>
      </c>
      <c r="K74" s="89"/>
    </row>
    <row r="75" spans="1:11" s="5" customFormat="1" ht="15" customHeight="1">
      <c r="A75" s="91" t="s">
        <v>212</v>
      </c>
      <c r="B75" s="98" t="s">
        <v>10</v>
      </c>
      <c r="C75" s="70">
        <f>SUM(D75:J75)</f>
        <v>273000</v>
      </c>
      <c r="D75" s="88">
        <f>SUM(D104)</f>
        <v>31000</v>
      </c>
      <c r="E75" s="88">
        <f aca="true" t="shared" si="31" ref="E75:J75">SUM(E104)</f>
        <v>38000</v>
      </c>
      <c r="F75" s="87">
        <f t="shared" si="31"/>
        <v>40000</v>
      </c>
      <c r="G75" s="87">
        <f t="shared" si="31"/>
        <v>41000</v>
      </c>
      <c r="H75" s="87">
        <f t="shared" si="31"/>
        <v>41000</v>
      </c>
      <c r="I75" s="87">
        <f t="shared" si="31"/>
        <v>41000</v>
      </c>
      <c r="J75" s="87">
        <f t="shared" si="31"/>
        <v>41000</v>
      </c>
      <c r="K75" s="62"/>
    </row>
    <row r="76" spans="1:11" s="5" customFormat="1" ht="15" customHeight="1">
      <c r="A76" s="91"/>
      <c r="B76" s="98"/>
      <c r="C76" s="70"/>
      <c r="D76" s="95"/>
      <c r="E76" s="95"/>
      <c r="F76" s="70"/>
      <c r="G76" s="70"/>
      <c r="H76" s="70"/>
      <c r="I76" s="70"/>
      <c r="J76" s="70"/>
      <c r="K76" s="62"/>
    </row>
    <row r="77" spans="1:11" s="16" customFormat="1" ht="50.25" customHeight="1">
      <c r="A77" s="91" t="s">
        <v>213</v>
      </c>
      <c r="B77" s="92" t="s">
        <v>104</v>
      </c>
      <c r="C77" s="70">
        <f>SUM(C78)</f>
        <v>8250</v>
      </c>
      <c r="D77" s="95">
        <f>SUM(D78)</f>
        <v>0</v>
      </c>
      <c r="E77" s="95">
        <f aca="true" t="shared" si="32" ref="E77:J77">SUM(E78)</f>
        <v>250</v>
      </c>
      <c r="F77" s="70">
        <f t="shared" si="32"/>
        <v>0</v>
      </c>
      <c r="G77" s="70">
        <f t="shared" si="32"/>
        <v>0</v>
      </c>
      <c r="H77" s="70">
        <f t="shared" si="32"/>
        <v>2000</v>
      </c>
      <c r="I77" s="70">
        <f t="shared" si="32"/>
        <v>2000</v>
      </c>
      <c r="J77" s="70">
        <f t="shared" si="32"/>
        <v>4000</v>
      </c>
      <c r="K77" s="62" t="s">
        <v>156</v>
      </c>
    </row>
    <row r="78" spans="1:11" s="7" customFormat="1" ht="15" customHeight="1">
      <c r="A78" s="91" t="s">
        <v>214</v>
      </c>
      <c r="B78" s="98" t="s">
        <v>7</v>
      </c>
      <c r="C78" s="70">
        <f aca="true" t="shared" si="33" ref="C78:J78">SUM(C80:C84)</f>
        <v>8250</v>
      </c>
      <c r="D78" s="88">
        <f t="shared" si="33"/>
        <v>0</v>
      </c>
      <c r="E78" s="88">
        <f t="shared" si="33"/>
        <v>250</v>
      </c>
      <c r="F78" s="87">
        <f t="shared" si="33"/>
        <v>0</v>
      </c>
      <c r="G78" s="87">
        <f t="shared" si="33"/>
        <v>0</v>
      </c>
      <c r="H78" s="87">
        <f t="shared" si="33"/>
        <v>2000</v>
      </c>
      <c r="I78" s="87">
        <f t="shared" si="33"/>
        <v>2000</v>
      </c>
      <c r="J78" s="87">
        <f t="shared" si="33"/>
        <v>4000</v>
      </c>
      <c r="K78" s="62"/>
    </row>
    <row r="79" spans="1:11" s="13" customFormat="1" ht="15" customHeight="1">
      <c r="A79" s="91"/>
      <c r="B79" s="92" t="s">
        <v>19</v>
      </c>
      <c r="C79" s="99"/>
      <c r="D79" s="96"/>
      <c r="E79" s="96"/>
      <c r="F79" s="97"/>
      <c r="G79" s="97"/>
      <c r="H79" s="97"/>
      <c r="I79" s="97"/>
      <c r="J79" s="97"/>
      <c r="K79" s="94"/>
    </row>
    <row r="80" spans="1:11" s="7" customFormat="1" ht="15" customHeight="1">
      <c r="A80" s="86" t="s">
        <v>215</v>
      </c>
      <c r="B80" s="62" t="s">
        <v>66</v>
      </c>
      <c r="C80" s="70">
        <f>SUM(D80:J80)</f>
        <v>250</v>
      </c>
      <c r="D80" s="88"/>
      <c r="E80" s="88">
        <v>250</v>
      </c>
      <c r="F80" s="87"/>
      <c r="G80" s="87"/>
      <c r="H80" s="87"/>
      <c r="I80" s="87"/>
      <c r="J80" s="87"/>
      <c r="K80" s="62"/>
    </row>
    <row r="81" spans="1:11" s="7" customFormat="1" ht="15" customHeight="1">
      <c r="A81" s="86" t="s">
        <v>216</v>
      </c>
      <c r="B81" s="92" t="s">
        <v>26</v>
      </c>
      <c r="C81" s="70">
        <f>SUM(D81:J81)</f>
        <v>2000</v>
      </c>
      <c r="D81" s="88"/>
      <c r="E81" s="88"/>
      <c r="F81" s="87"/>
      <c r="G81" s="87"/>
      <c r="H81" s="87">
        <v>2000</v>
      </c>
      <c r="I81" s="87"/>
      <c r="J81" s="87"/>
      <c r="K81" s="62"/>
    </row>
    <row r="82" spans="1:11" s="7" customFormat="1" ht="15" customHeight="1">
      <c r="A82" s="86" t="s">
        <v>217</v>
      </c>
      <c r="B82" s="92" t="s">
        <v>67</v>
      </c>
      <c r="C82" s="70">
        <f>SUM(D82:J82)</f>
        <v>2000</v>
      </c>
      <c r="D82" s="88"/>
      <c r="E82" s="88"/>
      <c r="F82" s="87"/>
      <c r="G82" s="87"/>
      <c r="H82" s="87"/>
      <c r="I82" s="87"/>
      <c r="J82" s="87">
        <v>2000</v>
      </c>
      <c r="K82" s="62"/>
    </row>
    <row r="83" spans="1:11" s="7" customFormat="1" ht="15" customHeight="1">
      <c r="A83" s="86" t="s">
        <v>218</v>
      </c>
      <c r="B83" s="92" t="s">
        <v>147</v>
      </c>
      <c r="C83" s="70">
        <f>SUM(D83:J83)</f>
        <v>2000</v>
      </c>
      <c r="D83" s="88"/>
      <c r="E83" s="88"/>
      <c r="F83" s="87"/>
      <c r="G83" s="87"/>
      <c r="H83" s="87"/>
      <c r="I83" s="87">
        <v>2000</v>
      </c>
      <c r="J83" s="87"/>
      <c r="K83" s="62"/>
    </row>
    <row r="84" spans="1:11" s="7" customFormat="1" ht="15" customHeight="1">
      <c r="A84" s="86" t="s">
        <v>219</v>
      </c>
      <c r="B84" s="92" t="s">
        <v>73</v>
      </c>
      <c r="C84" s="70">
        <f>SUM(D84:J84)</f>
        <v>2000</v>
      </c>
      <c r="D84" s="88"/>
      <c r="E84" s="88"/>
      <c r="F84" s="87"/>
      <c r="G84" s="87"/>
      <c r="H84" s="87"/>
      <c r="I84" s="87"/>
      <c r="J84" s="87">
        <v>2000</v>
      </c>
      <c r="K84" s="62"/>
    </row>
    <row r="85" spans="1:11" s="5" customFormat="1" ht="15" customHeight="1">
      <c r="A85" s="91"/>
      <c r="B85" s="62"/>
      <c r="C85" s="70"/>
      <c r="D85" s="95"/>
      <c r="E85" s="95"/>
      <c r="F85" s="70"/>
      <c r="G85" s="70"/>
      <c r="H85" s="70"/>
      <c r="I85" s="70"/>
      <c r="J85" s="70"/>
      <c r="K85" s="62"/>
    </row>
    <row r="86" spans="1:11" s="15" customFormat="1" ht="96" customHeight="1">
      <c r="A86" s="91" t="s">
        <v>220</v>
      </c>
      <c r="B86" s="92" t="s">
        <v>105</v>
      </c>
      <c r="C86" s="70">
        <f>SUM(C90:C96)</f>
        <v>7935.478999999999</v>
      </c>
      <c r="D86" s="95">
        <f>SUM(D87:D88)</f>
        <v>144</v>
      </c>
      <c r="E86" s="95">
        <f aca="true" t="shared" si="34" ref="E86:J86">SUM(E87:E88)</f>
        <v>2691.479</v>
      </c>
      <c r="F86" s="70">
        <f t="shared" si="34"/>
        <v>100</v>
      </c>
      <c r="G86" s="70">
        <f>SUM(G87:G88)</f>
        <v>0</v>
      </c>
      <c r="H86" s="70">
        <f t="shared" si="34"/>
        <v>1000</v>
      </c>
      <c r="I86" s="70">
        <f t="shared" si="34"/>
        <v>2000</v>
      </c>
      <c r="J86" s="70">
        <f t="shared" si="34"/>
        <v>2000</v>
      </c>
      <c r="K86" s="62" t="s">
        <v>176</v>
      </c>
    </row>
    <row r="87" spans="1:11" s="5" customFormat="1" ht="15" customHeight="1">
      <c r="A87" s="91" t="s">
        <v>221</v>
      </c>
      <c r="B87" s="92" t="s">
        <v>7</v>
      </c>
      <c r="C87" s="70">
        <f>SUM(D87:J87)</f>
        <v>7935.478999999999</v>
      </c>
      <c r="D87" s="95">
        <f>SUM(D90+D91+D92+D93+D95+D96)</f>
        <v>144</v>
      </c>
      <c r="E87" s="95">
        <f aca="true" t="shared" si="35" ref="E87:J87">SUM(E90+E91+E92+E93+E95+E96)</f>
        <v>2691.479</v>
      </c>
      <c r="F87" s="70">
        <f t="shared" si="35"/>
        <v>100</v>
      </c>
      <c r="G87" s="70">
        <f t="shared" si="35"/>
        <v>0</v>
      </c>
      <c r="H87" s="70">
        <f t="shared" si="35"/>
        <v>1000</v>
      </c>
      <c r="I87" s="70">
        <f t="shared" si="35"/>
        <v>2000</v>
      </c>
      <c r="J87" s="70">
        <f t="shared" si="35"/>
        <v>2000</v>
      </c>
      <c r="K87" s="89"/>
    </row>
    <row r="88" spans="1:11" s="5" customFormat="1" ht="15" customHeight="1">
      <c r="A88" s="91" t="s">
        <v>222</v>
      </c>
      <c r="B88" s="92" t="s">
        <v>9</v>
      </c>
      <c r="C88" s="70">
        <f>SUM(D88:J88)</f>
        <v>0</v>
      </c>
      <c r="D88" s="95"/>
      <c r="E88" s="95"/>
      <c r="F88" s="70"/>
      <c r="G88" s="70"/>
      <c r="H88" s="70"/>
      <c r="I88" s="70"/>
      <c r="J88" s="70"/>
      <c r="K88" s="89"/>
    </row>
    <row r="89" spans="1:11" s="6" customFormat="1" ht="15">
      <c r="A89" s="100"/>
      <c r="B89" s="92" t="s">
        <v>20</v>
      </c>
      <c r="C89" s="99"/>
      <c r="D89" s="96"/>
      <c r="E89" s="96"/>
      <c r="F89" s="97"/>
      <c r="G89" s="97"/>
      <c r="H89" s="97"/>
      <c r="I89" s="97"/>
      <c r="J89" s="97"/>
      <c r="K89" s="94"/>
    </row>
    <row r="90" spans="1:11" s="5" customFormat="1" ht="15">
      <c r="A90" s="91" t="s">
        <v>223</v>
      </c>
      <c r="B90" s="92" t="s">
        <v>27</v>
      </c>
      <c r="C90" s="70">
        <f>SUM(D90:J90)</f>
        <v>2144</v>
      </c>
      <c r="D90" s="88">
        <v>144</v>
      </c>
      <c r="E90" s="88"/>
      <c r="F90" s="87"/>
      <c r="G90" s="87"/>
      <c r="H90" s="87"/>
      <c r="I90" s="87"/>
      <c r="J90" s="87">
        <v>2000</v>
      </c>
      <c r="K90" s="62"/>
    </row>
    <row r="91" spans="1:11" s="5" customFormat="1" ht="15">
      <c r="A91" s="91" t="s">
        <v>224</v>
      </c>
      <c r="B91" s="92" t="s">
        <v>196</v>
      </c>
      <c r="C91" s="70">
        <f>SUM(D91:J91)</f>
        <v>2000</v>
      </c>
      <c r="D91" s="88"/>
      <c r="E91" s="88"/>
      <c r="F91" s="87"/>
      <c r="G91" s="87"/>
      <c r="H91" s="87"/>
      <c r="I91" s="87">
        <v>2000</v>
      </c>
      <c r="J91" s="87"/>
      <c r="K91" s="62"/>
    </row>
    <row r="92" spans="1:11" s="5" customFormat="1" ht="15" customHeight="1">
      <c r="A92" s="91" t="s">
        <v>225</v>
      </c>
      <c r="B92" s="92" t="s">
        <v>74</v>
      </c>
      <c r="C92" s="70">
        <f>SUM(D92:J92)</f>
        <v>2441.479</v>
      </c>
      <c r="D92" s="88"/>
      <c r="E92" s="88">
        <f>266+875.8-159.65+858.954+600.375</f>
        <v>2441.479</v>
      </c>
      <c r="F92" s="87"/>
      <c r="G92" s="87"/>
      <c r="H92" s="87"/>
      <c r="I92" s="87"/>
      <c r="J92" s="87"/>
      <c r="K92" s="62"/>
    </row>
    <row r="93" spans="1:11" s="5" customFormat="1" ht="15" customHeight="1">
      <c r="A93" s="91" t="s">
        <v>226</v>
      </c>
      <c r="B93" s="101" t="s">
        <v>145</v>
      </c>
      <c r="C93" s="70">
        <f>SUM(D93:J93)</f>
        <v>1000</v>
      </c>
      <c r="D93" s="88"/>
      <c r="E93" s="88"/>
      <c r="F93" s="87"/>
      <c r="G93" s="87"/>
      <c r="H93" s="87">
        <v>1000</v>
      </c>
      <c r="I93" s="87"/>
      <c r="J93" s="87"/>
      <c r="K93" s="62"/>
    </row>
    <row r="94" spans="1:11" s="5" customFormat="1" ht="35.25" customHeight="1">
      <c r="A94" s="91"/>
      <c r="B94" s="92" t="s">
        <v>63</v>
      </c>
      <c r="C94" s="70"/>
      <c r="D94" s="88"/>
      <c r="E94" s="88"/>
      <c r="F94" s="87"/>
      <c r="G94" s="87"/>
      <c r="H94" s="87"/>
      <c r="I94" s="87"/>
      <c r="J94" s="87"/>
      <c r="K94" s="62"/>
    </row>
    <row r="95" spans="1:11" s="5" customFormat="1" ht="15" customHeight="1">
      <c r="A95" s="91" t="s">
        <v>227</v>
      </c>
      <c r="B95" s="98" t="s">
        <v>146</v>
      </c>
      <c r="C95" s="70">
        <f>SUM(D95:J95)</f>
        <v>250</v>
      </c>
      <c r="D95" s="88"/>
      <c r="E95" s="88">
        <f>250</f>
        <v>250</v>
      </c>
      <c r="F95" s="87"/>
      <c r="G95" s="87"/>
      <c r="H95" s="87"/>
      <c r="I95" s="87"/>
      <c r="J95" s="87"/>
      <c r="K95" s="62"/>
    </row>
    <row r="96" spans="1:11" s="5" customFormat="1" ht="15" customHeight="1">
      <c r="A96" s="91" t="s">
        <v>228</v>
      </c>
      <c r="B96" s="98" t="s">
        <v>147</v>
      </c>
      <c r="C96" s="70">
        <f>SUM(D96:J96)</f>
        <v>100</v>
      </c>
      <c r="D96" s="88"/>
      <c r="E96" s="88"/>
      <c r="F96" s="87">
        <f>100</f>
        <v>100</v>
      </c>
      <c r="G96" s="87"/>
      <c r="H96" s="87"/>
      <c r="I96" s="87"/>
      <c r="J96" s="87"/>
      <c r="K96" s="62"/>
    </row>
    <row r="97" spans="1:11" s="5" customFormat="1" ht="15" customHeight="1">
      <c r="A97" s="91"/>
      <c r="B97" s="98"/>
      <c r="C97" s="70"/>
      <c r="D97" s="88"/>
      <c r="E97" s="88"/>
      <c r="F97" s="87"/>
      <c r="G97" s="87"/>
      <c r="H97" s="87"/>
      <c r="I97" s="87"/>
      <c r="J97" s="87"/>
      <c r="K97" s="62"/>
    </row>
    <row r="98" spans="1:11" s="16" customFormat="1" ht="81.75" customHeight="1">
      <c r="A98" s="91" t="s">
        <v>229</v>
      </c>
      <c r="B98" s="92" t="s">
        <v>106</v>
      </c>
      <c r="C98" s="87">
        <f>SUM(C99)</f>
        <v>971276.8</v>
      </c>
      <c r="D98" s="88">
        <f>SUM(D99)</f>
        <v>98262</v>
      </c>
      <c r="E98" s="88">
        <f aca="true" t="shared" si="36" ref="E98:J98">SUM(E99)</f>
        <v>105283</v>
      </c>
      <c r="F98" s="87">
        <f t="shared" si="36"/>
        <v>149688.8</v>
      </c>
      <c r="G98" s="87">
        <f t="shared" si="36"/>
        <v>146836</v>
      </c>
      <c r="H98" s="87">
        <f t="shared" si="36"/>
        <v>157069</v>
      </c>
      <c r="I98" s="87">
        <f t="shared" si="36"/>
        <v>157069</v>
      </c>
      <c r="J98" s="87">
        <f t="shared" si="36"/>
        <v>157069</v>
      </c>
      <c r="K98" s="62" t="s">
        <v>177</v>
      </c>
    </row>
    <row r="99" spans="1:11" s="7" customFormat="1" ht="15" customHeight="1">
      <c r="A99" s="91" t="s">
        <v>230</v>
      </c>
      <c r="B99" s="92" t="s">
        <v>9</v>
      </c>
      <c r="C99" s="70">
        <f>SUM(D99:J99)</f>
        <v>971276.8</v>
      </c>
      <c r="D99" s="88">
        <f>87177+6741+4344</f>
        <v>98262</v>
      </c>
      <c r="E99" s="88">
        <f>109598-4315</f>
        <v>105283</v>
      </c>
      <c r="F99" s="87">
        <f>150914-1225.2</f>
        <v>149688.8</v>
      </c>
      <c r="G99" s="87">
        <f>150096-3260</f>
        <v>146836</v>
      </c>
      <c r="H99" s="87">
        <v>157069</v>
      </c>
      <c r="I99" s="87">
        <v>157069</v>
      </c>
      <c r="J99" s="87">
        <v>157069</v>
      </c>
      <c r="K99" s="62"/>
    </row>
    <row r="100" spans="1:11" s="5" customFormat="1" ht="15" customHeight="1">
      <c r="A100" s="91"/>
      <c r="B100" s="102"/>
      <c r="C100" s="70"/>
      <c r="D100" s="88"/>
      <c r="E100" s="88"/>
      <c r="F100" s="87"/>
      <c r="G100" s="87"/>
      <c r="H100" s="87"/>
      <c r="I100" s="87"/>
      <c r="J100" s="87"/>
      <c r="K100" s="62"/>
    </row>
    <row r="101" spans="1:11" s="16" customFormat="1" ht="82.5" customHeight="1">
      <c r="A101" s="86" t="s">
        <v>231</v>
      </c>
      <c r="B101" s="103" t="s">
        <v>107</v>
      </c>
      <c r="C101" s="87">
        <f>SUM(C102:C104)</f>
        <v>912520.7320000001</v>
      </c>
      <c r="D101" s="88">
        <f aca="true" t="shared" si="37" ref="D101:J101">SUM(D102:D104)</f>
        <v>137034.519</v>
      </c>
      <c r="E101" s="88">
        <f t="shared" si="37"/>
        <v>153941.77599999998</v>
      </c>
      <c r="F101" s="87">
        <f t="shared" si="37"/>
        <v>119106.73700000001</v>
      </c>
      <c r="G101" s="87">
        <f t="shared" si="37"/>
        <v>124947.7</v>
      </c>
      <c r="H101" s="87">
        <f t="shared" si="37"/>
        <v>125830</v>
      </c>
      <c r="I101" s="87">
        <f t="shared" si="37"/>
        <v>125830</v>
      </c>
      <c r="J101" s="87">
        <f t="shared" si="37"/>
        <v>125830</v>
      </c>
      <c r="K101" s="62" t="s">
        <v>178</v>
      </c>
    </row>
    <row r="102" spans="1:11" s="7" customFormat="1" ht="15" customHeight="1">
      <c r="A102" s="86" t="s">
        <v>232</v>
      </c>
      <c r="B102" s="92" t="s">
        <v>7</v>
      </c>
      <c r="C102" s="70">
        <f>SUM(D102:J102)</f>
        <v>638204.7320000001</v>
      </c>
      <c r="D102" s="88">
        <v>104718.519</v>
      </c>
      <c r="E102" s="88">
        <f>118131-150+159.65-1200-455.891-587.485+44.502</f>
        <v>115941.77599999998</v>
      </c>
      <c r="F102" s="87">
        <f>69537.1+4500+4741.615+250-100-200+178.022+200</f>
        <v>79106.73700000001</v>
      </c>
      <c r="G102" s="87">
        <v>83947.7</v>
      </c>
      <c r="H102" s="87">
        <v>84830</v>
      </c>
      <c r="I102" s="87">
        <v>84830</v>
      </c>
      <c r="J102" s="87">
        <v>84830</v>
      </c>
      <c r="K102" s="62"/>
    </row>
    <row r="103" spans="1:11" s="7" customFormat="1" ht="15" customHeight="1">
      <c r="A103" s="86" t="s">
        <v>233</v>
      </c>
      <c r="B103" s="98" t="s">
        <v>9</v>
      </c>
      <c r="C103" s="70">
        <f>SUM(D103:J103)</f>
        <v>1316</v>
      </c>
      <c r="D103" s="88">
        <v>1316</v>
      </c>
      <c r="E103" s="88"/>
      <c r="F103" s="87"/>
      <c r="G103" s="87"/>
      <c r="H103" s="87"/>
      <c r="I103" s="87"/>
      <c r="J103" s="87"/>
      <c r="K103" s="62"/>
    </row>
    <row r="104" spans="1:11" s="7" customFormat="1" ht="15" customHeight="1">
      <c r="A104" s="86" t="s">
        <v>234</v>
      </c>
      <c r="B104" s="92" t="s">
        <v>10</v>
      </c>
      <c r="C104" s="70">
        <f>SUM(D104:J104)</f>
        <v>273000</v>
      </c>
      <c r="D104" s="88">
        <v>31000</v>
      </c>
      <c r="E104" s="88">
        <v>38000</v>
      </c>
      <c r="F104" s="87">
        <v>40000</v>
      </c>
      <c r="G104" s="87">
        <v>41000</v>
      </c>
      <c r="H104" s="87">
        <v>41000</v>
      </c>
      <c r="I104" s="87">
        <v>41000</v>
      </c>
      <c r="J104" s="87">
        <v>41000</v>
      </c>
      <c r="K104" s="62"/>
    </row>
    <row r="105" spans="1:11" s="5" customFormat="1" ht="15" customHeight="1">
      <c r="A105" s="91"/>
      <c r="B105" s="102"/>
      <c r="C105" s="70"/>
      <c r="D105" s="88"/>
      <c r="E105" s="88"/>
      <c r="F105" s="87"/>
      <c r="G105" s="87"/>
      <c r="H105" s="87"/>
      <c r="I105" s="87"/>
      <c r="J105" s="87"/>
      <c r="K105" s="62"/>
    </row>
    <row r="106" spans="1:11" s="16" customFormat="1" ht="60">
      <c r="A106" s="86" t="s">
        <v>235</v>
      </c>
      <c r="B106" s="103" t="s">
        <v>108</v>
      </c>
      <c r="C106" s="87">
        <f aca="true" t="shared" si="38" ref="C106:J106">SUM(C107:C107)</f>
        <v>3103.2219999999998</v>
      </c>
      <c r="D106" s="88">
        <f t="shared" si="38"/>
        <v>2207</v>
      </c>
      <c r="E106" s="88">
        <f t="shared" si="38"/>
        <v>896.222</v>
      </c>
      <c r="F106" s="87">
        <f t="shared" si="38"/>
        <v>0</v>
      </c>
      <c r="G106" s="87">
        <f t="shared" si="38"/>
        <v>0</v>
      </c>
      <c r="H106" s="87">
        <f t="shared" si="38"/>
        <v>0</v>
      </c>
      <c r="I106" s="87">
        <f t="shared" si="38"/>
        <v>0</v>
      </c>
      <c r="J106" s="87">
        <f t="shared" si="38"/>
        <v>0</v>
      </c>
      <c r="K106" s="62" t="s">
        <v>155</v>
      </c>
    </row>
    <row r="107" spans="1:11" s="7" customFormat="1" ht="15">
      <c r="A107" s="91" t="s">
        <v>236</v>
      </c>
      <c r="B107" s="92" t="s">
        <v>7</v>
      </c>
      <c r="C107" s="70">
        <f>SUM(D107:J107)</f>
        <v>3103.2219999999998</v>
      </c>
      <c r="D107" s="88">
        <f>1000+1207</f>
        <v>2207</v>
      </c>
      <c r="E107" s="88">
        <f>505+391.3-0.078</f>
        <v>896.222</v>
      </c>
      <c r="F107" s="87"/>
      <c r="G107" s="87"/>
      <c r="H107" s="87"/>
      <c r="I107" s="87"/>
      <c r="J107" s="87"/>
      <c r="K107" s="62"/>
    </row>
    <row r="108" spans="1:11" s="7" customFormat="1" ht="15">
      <c r="A108" s="86"/>
      <c r="B108" s="92"/>
      <c r="C108" s="87"/>
      <c r="D108" s="88"/>
      <c r="E108" s="88"/>
      <c r="F108" s="87"/>
      <c r="G108" s="87"/>
      <c r="H108" s="87"/>
      <c r="I108" s="87"/>
      <c r="J108" s="87"/>
      <c r="K108" s="62"/>
    </row>
    <row r="109" spans="1:11" s="16" customFormat="1" ht="45">
      <c r="A109" s="86" t="s">
        <v>237</v>
      </c>
      <c r="B109" s="103" t="s">
        <v>109</v>
      </c>
      <c r="C109" s="87">
        <f>SUM(D109:J109)</f>
        <v>50221.235</v>
      </c>
      <c r="D109" s="88">
        <f>SUM(D110:D111)</f>
        <v>0</v>
      </c>
      <c r="E109" s="88">
        <f aca="true" t="shared" si="39" ref="E109:J109">SUM(E110:E111)</f>
        <v>50221.235</v>
      </c>
      <c r="F109" s="87">
        <f t="shared" si="39"/>
        <v>0</v>
      </c>
      <c r="G109" s="87">
        <f t="shared" si="39"/>
        <v>0</v>
      </c>
      <c r="H109" s="87">
        <f t="shared" si="39"/>
        <v>0</v>
      </c>
      <c r="I109" s="87">
        <f t="shared" si="39"/>
        <v>0</v>
      </c>
      <c r="J109" s="87">
        <f t="shared" si="39"/>
        <v>0</v>
      </c>
      <c r="K109" s="62" t="s">
        <v>155</v>
      </c>
    </row>
    <row r="110" spans="1:11" s="16" customFormat="1" ht="15">
      <c r="A110" s="86" t="s">
        <v>238</v>
      </c>
      <c r="B110" s="92" t="s">
        <v>7</v>
      </c>
      <c r="C110" s="70">
        <f>SUM(D110:J110)</f>
        <v>24321.235</v>
      </c>
      <c r="D110" s="88">
        <f>SUM(D114+D118)</f>
        <v>0</v>
      </c>
      <c r="E110" s="88">
        <f aca="true" t="shared" si="40" ref="E110:J110">SUM(E114+E118+E121+E124)</f>
        <v>24321.235</v>
      </c>
      <c r="F110" s="87">
        <f t="shared" si="40"/>
        <v>0</v>
      </c>
      <c r="G110" s="87">
        <f t="shared" si="40"/>
        <v>0</v>
      </c>
      <c r="H110" s="87">
        <f t="shared" si="40"/>
        <v>0</v>
      </c>
      <c r="I110" s="87">
        <f t="shared" si="40"/>
        <v>0</v>
      </c>
      <c r="J110" s="87">
        <f t="shared" si="40"/>
        <v>0</v>
      </c>
      <c r="K110" s="62"/>
    </row>
    <row r="111" spans="1:11" s="16" customFormat="1" ht="15">
      <c r="A111" s="86" t="s">
        <v>239</v>
      </c>
      <c r="B111" s="98" t="s">
        <v>9</v>
      </c>
      <c r="C111" s="70">
        <f>SUM(D111:J111)</f>
        <v>25900</v>
      </c>
      <c r="D111" s="88">
        <f>SUM(D115)</f>
        <v>0</v>
      </c>
      <c r="E111" s="88">
        <f aca="true" t="shared" si="41" ref="E111:J111">SUM(E115+E125)</f>
        <v>25900</v>
      </c>
      <c r="F111" s="87">
        <f t="shared" si="41"/>
        <v>0</v>
      </c>
      <c r="G111" s="87">
        <f t="shared" si="41"/>
        <v>0</v>
      </c>
      <c r="H111" s="87">
        <f t="shared" si="41"/>
        <v>0</v>
      </c>
      <c r="I111" s="87">
        <f t="shared" si="41"/>
        <v>0</v>
      </c>
      <c r="J111" s="87">
        <f t="shared" si="41"/>
        <v>0</v>
      </c>
      <c r="K111" s="62"/>
    </row>
    <row r="112" spans="1:11" s="16" customFormat="1" ht="15">
      <c r="A112" s="91"/>
      <c r="B112" s="92" t="s">
        <v>82</v>
      </c>
      <c r="C112" s="70"/>
      <c r="D112" s="88"/>
      <c r="E112" s="88"/>
      <c r="F112" s="87"/>
      <c r="G112" s="87"/>
      <c r="H112" s="87"/>
      <c r="I112" s="87"/>
      <c r="J112" s="87"/>
      <c r="K112" s="62"/>
    </row>
    <row r="113" spans="1:11" s="16" customFormat="1" ht="30">
      <c r="A113" s="91" t="s">
        <v>240</v>
      </c>
      <c r="B113" s="92" t="s">
        <v>83</v>
      </c>
      <c r="C113" s="70">
        <f aca="true" t="shared" si="42" ref="C113:C125">SUM(D113:J113)</f>
        <v>40341.235</v>
      </c>
      <c r="D113" s="88">
        <f aca="true" t="shared" si="43" ref="D113:J113">SUM(D114:D115)</f>
        <v>0</v>
      </c>
      <c r="E113" s="88">
        <f t="shared" si="43"/>
        <v>40341.235</v>
      </c>
      <c r="F113" s="87">
        <f t="shared" si="43"/>
        <v>0</v>
      </c>
      <c r="G113" s="87">
        <f t="shared" si="43"/>
        <v>0</v>
      </c>
      <c r="H113" s="87">
        <f t="shared" si="43"/>
        <v>0</v>
      </c>
      <c r="I113" s="87">
        <f t="shared" si="43"/>
        <v>0</v>
      </c>
      <c r="J113" s="87">
        <f t="shared" si="43"/>
        <v>0</v>
      </c>
      <c r="K113" s="62"/>
    </row>
    <row r="114" spans="1:11" s="16" customFormat="1" ht="15">
      <c r="A114" s="91" t="s">
        <v>241</v>
      </c>
      <c r="B114" s="92" t="s">
        <v>7</v>
      </c>
      <c r="C114" s="70">
        <f t="shared" si="42"/>
        <v>17241.235</v>
      </c>
      <c r="D114" s="88"/>
      <c r="E114" s="88">
        <f>9900+4820+1900+621.235</f>
        <v>17241.235</v>
      </c>
      <c r="F114" s="87">
        <f>2700-2700</f>
        <v>0</v>
      </c>
      <c r="G114" s="87"/>
      <c r="H114" s="87"/>
      <c r="I114" s="87"/>
      <c r="J114" s="87"/>
      <c r="K114" s="62"/>
    </row>
    <row r="115" spans="1:11" s="16" customFormat="1" ht="15">
      <c r="A115" s="91" t="s">
        <v>242</v>
      </c>
      <c r="B115" s="98" t="s">
        <v>9</v>
      </c>
      <c r="C115" s="70">
        <f t="shared" si="42"/>
        <v>23100</v>
      </c>
      <c r="D115" s="88"/>
      <c r="E115" s="88">
        <v>23100</v>
      </c>
      <c r="F115" s="87"/>
      <c r="G115" s="87"/>
      <c r="H115" s="87"/>
      <c r="I115" s="87"/>
      <c r="J115" s="87"/>
      <c r="K115" s="62"/>
    </row>
    <row r="116" spans="1:11" s="16" customFormat="1" ht="15">
      <c r="A116" s="91"/>
      <c r="B116" s="98"/>
      <c r="C116" s="70"/>
      <c r="D116" s="88"/>
      <c r="E116" s="88"/>
      <c r="F116" s="87"/>
      <c r="G116" s="87"/>
      <c r="H116" s="87"/>
      <c r="I116" s="87"/>
      <c r="J116" s="87"/>
      <c r="K116" s="62"/>
    </row>
    <row r="117" spans="1:11" s="16" customFormat="1" ht="30">
      <c r="A117" s="91" t="s">
        <v>243</v>
      </c>
      <c r="B117" s="92" t="s">
        <v>81</v>
      </c>
      <c r="C117" s="70">
        <f t="shared" si="42"/>
        <v>780</v>
      </c>
      <c r="D117" s="88">
        <f>SUM(D118)</f>
        <v>0</v>
      </c>
      <c r="E117" s="88">
        <f aca="true" t="shared" si="44" ref="E117:J120">SUM(E118)</f>
        <v>780</v>
      </c>
      <c r="F117" s="87">
        <f t="shared" si="44"/>
        <v>0</v>
      </c>
      <c r="G117" s="87">
        <f t="shared" si="44"/>
        <v>0</v>
      </c>
      <c r="H117" s="87">
        <f t="shared" si="44"/>
        <v>0</v>
      </c>
      <c r="I117" s="87">
        <f t="shared" si="44"/>
        <v>0</v>
      </c>
      <c r="J117" s="87">
        <f t="shared" si="44"/>
        <v>0</v>
      </c>
      <c r="K117" s="62"/>
    </row>
    <row r="118" spans="1:11" s="7" customFormat="1" ht="15">
      <c r="A118" s="91" t="s">
        <v>244</v>
      </c>
      <c r="B118" s="92" t="s">
        <v>7</v>
      </c>
      <c r="C118" s="70">
        <f t="shared" si="42"/>
        <v>780</v>
      </c>
      <c r="D118" s="88"/>
      <c r="E118" s="88">
        <f>600+180</f>
        <v>780</v>
      </c>
      <c r="F118" s="87"/>
      <c r="G118" s="87"/>
      <c r="H118" s="87"/>
      <c r="I118" s="87"/>
      <c r="J118" s="87"/>
      <c r="K118" s="62"/>
    </row>
    <row r="119" spans="1:11" s="7" customFormat="1" ht="15">
      <c r="A119" s="91"/>
      <c r="B119" s="92"/>
      <c r="C119" s="70"/>
      <c r="D119" s="88"/>
      <c r="E119" s="88"/>
      <c r="F119" s="87"/>
      <c r="G119" s="87"/>
      <c r="H119" s="87"/>
      <c r="I119" s="87"/>
      <c r="J119" s="87"/>
      <c r="K119" s="62"/>
    </row>
    <row r="120" spans="1:11" s="16" customFormat="1" ht="30">
      <c r="A120" s="91" t="s">
        <v>245</v>
      </c>
      <c r="B120" s="92" t="s">
        <v>91</v>
      </c>
      <c r="C120" s="70">
        <f>SUM(D120:J120)</f>
        <v>5100</v>
      </c>
      <c r="D120" s="88">
        <f>SUM(D121)</f>
        <v>0</v>
      </c>
      <c r="E120" s="88">
        <f t="shared" si="44"/>
        <v>5100</v>
      </c>
      <c r="F120" s="87">
        <f t="shared" si="44"/>
        <v>0</v>
      </c>
      <c r="G120" s="87">
        <f t="shared" si="44"/>
        <v>0</v>
      </c>
      <c r="H120" s="87">
        <f t="shared" si="44"/>
        <v>0</v>
      </c>
      <c r="I120" s="87">
        <f t="shared" si="44"/>
        <v>0</v>
      </c>
      <c r="J120" s="87">
        <f t="shared" si="44"/>
        <v>0</v>
      </c>
      <c r="K120" s="62"/>
    </row>
    <row r="121" spans="1:11" s="7" customFormat="1" ht="15">
      <c r="A121" s="91" t="s">
        <v>246</v>
      </c>
      <c r="B121" s="92" t="s">
        <v>7</v>
      </c>
      <c r="C121" s="70">
        <f>SUM(D121:J121)</f>
        <v>5100</v>
      </c>
      <c r="D121" s="88"/>
      <c r="E121" s="88">
        <f>7000-1900</f>
        <v>5100</v>
      </c>
      <c r="F121" s="87"/>
      <c r="G121" s="87"/>
      <c r="H121" s="87"/>
      <c r="I121" s="87"/>
      <c r="J121" s="87"/>
      <c r="K121" s="62"/>
    </row>
    <row r="122" spans="1:11" s="7" customFormat="1" ht="15">
      <c r="A122" s="91"/>
      <c r="B122" s="92"/>
      <c r="C122" s="70"/>
      <c r="D122" s="88"/>
      <c r="E122" s="88"/>
      <c r="F122" s="87"/>
      <c r="G122" s="87"/>
      <c r="H122" s="87"/>
      <c r="I122" s="87"/>
      <c r="J122" s="87"/>
      <c r="K122" s="62"/>
    </row>
    <row r="123" spans="1:11" s="7" customFormat="1" ht="30">
      <c r="A123" s="91" t="s">
        <v>247</v>
      </c>
      <c r="B123" s="92" t="s">
        <v>457</v>
      </c>
      <c r="C123" s="70">
        <f t="shared" si="42"/>
        <v>4000</v>
      </c>
      <c r="D123" s="88">
        <f aca="true" t="shared" si="45" ref="D123:J123">SUM(D124:D125)</f>
        <v>0</v>
      </c>
      <c r="E123" s="88">
        <f t="shared" si="45"/>
        <v>4000</v>
      </c>
      <c r="F123" s="87">
        <f t="shared" si="45"/>
        <v>0</v>
      </c>
      <c r="G123" s="87">
        <f t="shared" si="45"/>
        <v>0</v>
      </c>
      <c r="H123" s="87">
        <f t="shared" si="45"/>
        <v>0</v>
      </c>
      <c r="I123" s="87">
        <f t="shared" si="45"/>
        <v>0</v>
      </c>
      <c r="J123" s="87">
        <f t="shared" si="45"/>
        <v>0</v>
      </c>
      <c r="K123" s="62"/>
    </row>
    <row r="124" spans="1:11" s="7" customFormat="1" ht="15">
      <c r="A124" s="91" t="s">
        <v>248</v>
      </c>
      <c r="B124" s="92" t="s">
        <v>7</v>
      </c>
      <c r="C124" s="70">
        <f t="shared" si="42"/>
        <v>1200</v>
      </c>
      <c r="D124" s="88"/>
      <c r="E124" s="88">
        <f>1200</f>
        <v>1200</v>
      </c>
      <c r="F124" s="87"/>
      <c r="G124" s="87"/>
      <c r="H124" s="87"/>
      <c r="I124" s="87"/>
      <c r="J124" s="87"/>
      <c r="K124" s="62"/>
    </row>
    <row r="125" spans="1:11" s="7" customFormat="1" ht="15">
      <c r="A125" s="91" t="s">
        <v>249</v>
      </c>
      <c r="B125" s="98" t="s">
        <v>9</v>
      </c>
      <c r="C125" s="70">
        <f t="shared" si="42"/>
        <v>2800</v>
      </c>
      <c r="D125" s="88"/>
      <c r="E125" s="88">
        <f>2800</f>
        <v>2800</v>
      </c>
      <c r="F125" s="87"/>
      <c r="G125" s="87"/>
      <c r="H125" s="87"/>
      <c r="I125" s="87"/>
      <c r="J125" s="87"/>
      <c r="K125" s="62"/>
    </row>
    <row r="126" spans="1:11" s="7" customFormat="1" ht="15">
      <c r="A126" s="86"/>
      <c r="B126" s="92"/>
      <c r="C126" s="87"/>
      <c r="D126" s="88"/>
      <c r="E126" s="88"/>
      <c r="F126" s="87"/>
      <c r="G126" s="87"/>
      <c r="H126" s="87"/>
      <c r="I126" s="87"/>
      <c r="J126" s="87"/>
      <c r="K126" s="62"/>
    </row>
    <row r="127" spans="1:11" s="4" customFormat="1" ht="15" customHeight="1">
      <c r="A127" s="63"/>
      <c r="B127" s="64" t="s">
        <v>58</v>
      </c>
      <c r="C127" s="65"/>
      <c r="D127" s="65"/>
      <c r="E127" s="65"/>
      <c r="F127" s="65"/>
      <c r="G127" s="65"/>
      <c r="H127" s="65"/>
      <c r="I127" s="65"/>
      <c r="J127" s="65"/>
      <c r="K127" s="66"/>
    </row>
    <row r="128" spans="1:11" s="15" customFormat="1" ht="23.25" customHeight="1">
      <c r="A128" s="91" t="s">
        <v>250</v>
      </c>
      <c r="B128" s="92" t="s">
        <v>35</v>
      </c>
      <c r="C128" s="70">
        <f>SUM(C129:C132)</f>
        <v>2253304.7365</v>
      </c>
      <c r="D128" s="95">
        <f aca="true" t="shared" si="46" ref="D128:J128">SUM(D129:D132)</f>
        <v>364991.669</v>
      </c>
      <c r="E128" s="95">
        <f>SUM(E129:E132)</f>
        <v>311126.389</v>
      </c>
      <c r="F128" s="70">
        <f>SUM(F129:F132)</f>
        <v>336877.03650000005</v>
      </c>
      <c r="G128" s="70">
        <f t="shared" si="46"/>
        <v>320794.142</v>
      </c>
      <c r="H128" s="70">
        <f t="shared" si="46"/>
        <v>306232.4</v>
      </c>
      <c r="I128" s="70">
        <f t="shared" si="46"/>
        <v>306312.4</v>
      </c>
      <c r="J128" s="70">
        <f t="shared" si="46"/>
        <v>306970.7</v>
      </c>
      <c r="K128" s="93"/>
    </row>
    <row r="129" spans="1:11" s="5" customFormat="1" ht="15" customHeight="1">
      <c r="A129" s="91" t="s">
        <v>251</v>
      </c>
      <c r="B129" s="92" t="s">
        <v>7</v>
      </c>
      <c r="C129" s="70">
        <f>SUM(D129:J129)</f>
        <v>798786.4605</v>
      </c>
      <c r="D129" s="88">
        <f aca="true" t="shared" si="47" ref="D129:J129">SUM(D135+D167)</f>
        <v>163755.794</v>
      </c>
      <c r="E129" s="88">
        <f t="shared" si="47"/>
        <v>130901.93800000001</v>
      </c>
      <c r="F129" s="87">
        <f>SUM(F135+F167)</f>
        <v>102652.23650000003</v>
      </c>
      <c r="G129" s="87">
        <f>SUM(G135+G167)</f>
        <v>104079.992</v>
      </c>
      <c r="H129" s="87">
        <f t="shared" si="47"/>
        <v>98859.40000000001</v>
      </c>
      <c r="I129" s="87">
        <f t="shared" si="47"/>
        <v>98939.4</v>
      </c>
      <c r="J129" s="87">
        <f t="shared" si="47"/>
        <v>99597.7</v>
      </c>
      <c r="K129" s="62"/>
    </row>
    <row r="130" spans="1:11" s="5" customFormat="1" ht="15" customHeight="1">
      <c r="A130" s="91" t="s">
        <v>252</v>
      </c>
      <c r="B130" s="92" t="s">
        <v>8</v>
      </c>
      <c r="C130" s="70">
        <f>SUM(D130:J130)</f>
        <v>7508.806</v>
      </c>
      <c r="D130" s="88">
        <f>SUM(D168)</f>
        <v>1155.675</v>
      </c>
      <c r="E130" s="88">
        <f aca="true" t="shared" si="48" ref="E130:J130">SUM(E168)</f>
        <v>2441.431</v>
      </c>
      <c r="F130" s="87">
        <f t="shared" si="48"/>
        <v>3911.7</v>
      </c>
      <c r="G130" s="87">
        <f t="shared" si="48"/>
        <v>0</v>
      </c>
      <c r="H130" s="87">
        <f t="shared" si="48"/>
        <v>0</v>
      </c>
      <c r="I130" s="87">
        <f t="shared" si="48"/>
        <v>0</v>
      </c>
      <c r="J130" s="87">
        <f t="shared" si="48"/>
        <v>0</v>
      </c>
      <c r="K130" s="62"/>
    </row>
    <row r="131" spans="1:11" s="5" customFormat="1" ht="15" customHeight="1">
      <c r="A131" s="91" t="s">
        <v>253</v>
      </c>
      <c r="B131" s="92" t="s">
        <v>9</v>
      </c>
      <c r="C131" s="70">
        <f>SUM(D131:J131)</f>
        <v>1428312.07</v>
      </c>
      <c r="D131" s="88">
        <f aca="true" t="shared" si="49" ref="D131:J131">SUM(D137+D169)</f>
        <v>195882.8</v>
      </c>
      <c r="E131" s="88">
        <f t="shared" si="49"/>
        <v>177783.02000000002</v>
      </c>
      <c r="F131" s="87">
        <f t="shared" si="49"/>
        <v>228613.1</v>
      </c>
      <c r="G131" s="87">
        <f t="shared" si="49"/>
        <v>213514.15</v>
      </c>
      <c r="H131" s="87">
        <f t="shared" si="49"/>
        <v>204173</v>
      </c>
      <c r="I131" s="87">
        <f t="shared" si="49"/>
        <v>204173</v>
      </c>
      <c r="J131" s="87">
        <f t="shared" si="49"/>
        <v>204173</v>
      </c>
      <c r="K131" s="62"/>
    </row>
    <row r="132" spans="1:11" s="5" customFormat="1" ht="15" customHeight="1">
      <c r="A132" s="91" t="s">
        <v>254</v>
      </c>
      <c r="B132" s="92" t="s">
        <v>10</v>
      </c>
      <c r="C132" s="70">
        <f>SUM(D132:J132)</f>
        <v>18697.4</v>
      </c>
      <c r="D132" s="88">
        <f>SUM(D170)</f>
        <v>4197.4</v>
      </c>
      <c r="E132" s="88">
        <f aca="true" t="shared" si="50" ref="E132:J132">SUM(E170)</f>
        <v>0</v>
      </c>
      <c r="F132" s="87">
        <f t="shared" si="50"/>
        <v>1700</v>
      </c>
      <c r="G132" s="87">
        <f t="shared" si="50"/>
        <v>3200</v>
      </c>
      <c r="H132" s="87">
        <f t="shared" si="50"/>
        <v>3200</v>
      </c>
      <c r="I132" s="87">
        <f t="shared" si="50"/>
        <v>3200</v>
      </c>
      <c r="J132" s="87">
        <f t="shared" si="50"/>
        <v>3200</v>
      </c>
      <c r="K132" s="62"/>
    </row>
    <row r="133" spans="1:11" s="5" customFormat="1" ht="15" customHeight="1">
      <c r="A133" s="63"/>
      <c r="B133" s="64" t="s">
        <v>11</v>
      </c>
      <c r="C133" s="65"/>
      <c r="D133" s="65"/>
      <c r="E133" s="65"/>
      <c r="F133" s="65"/>
      <c r="G133" s="65"/>
      <c r="H133" s="65"/>
      <c r="I133" s="65"/>
      <c r="J133" s="65"/>
      <c r="K133" s="66"/>
    </row>
    <row r="134" spans="1:11" s="15" customFormat="1" ht="33.75" customHeight="1">
      <c r="A134" s="91" t="s">
        <v>255</v>
      </c>
      <c r="B134" s="92" t="s">
        <v>13</v>
      </c>
      <c r="C134" s="70">
        <f>SUM(C135:C137)</f>
        <v>0</v>
      </c>
      <c r="D134" s="95">
        <f>SUM(D135:D137)</f>
        <v>0</v>
      </c>
      <c r="E134" s="95">
        <f aca="true" t="shared" si="51" ref="E134:J134">SUM(E135:E137)</f>
        <v>0</v>
      </c>
      <c r="F134" s="70">
        <f t="shared" si="51"/>
        <v>0</v>
      </c>
      <c r="G134" s="70">
        <f t="shared" si="51"/>
        <v>0</v>
      </c>
      <c r="H134" s="70">
        <f t="shared" si="51"/>
        <v>0</v>
      </c>
      <c r="I134" s="70">
        <f t="shared" si="51"/>
        <v>0</v>
      </c>
      <c r="J134" s="70">
        <f t="shared" si="51"/>
        <v>0</v>
      </c>
      <c r="K134" s="94"/>
    </row>
    <row r="135" spans="1:11" s="5" customFormat="1" ht="15" customHeight="1">
      <c r="A135" s="91" t="s">
        <v>256</v>
      </c>
      <c r="B135" s="92" t="s">
        <v>7</v>
      </c>
      <c r="C135" s="70">
        <f>SUM(D135:J135)</f>
        <v>0</v>
      </c>
      <c r="D135" s="88">
        <f>SUM(D141+D152)</f>
        <v>0</v>
      </c>
      <c r="E135" s="88">
        <f aca="true" t="shared" si="52" ref="E135:J135">SUM(E141+E152)</f>
        <v>0</v>
      </c>
      <c r="F135" s="87">
        <f t="shared" si="52"/>
        <v>0</v>
      </c>
      <c r="G135" s="87">
        <f t="shared" si="52"/>
        <v>0</v>
      </c>
      <c r="H135" s="87">
        <f t="shared" si="52"/>
        <v>0</v>
      </c>
      <c r="I135" s="87">
        <f t="shared" si="52"/>
        <v>0</v>
      </c>
      <c r="J135" s="87">
        <f t="shared" si="52"/>
        <v>0</v>
      </c>
      <c r="K135" s="62"/>
    </row>
    <row r="136" spans="1:11" s="5" customFormat="1" ht="15" customHeight="1">
      <c r="A136" s="91" t="s">
        <v>257</v>
      </c>
      <c r="B136" s="92" t="s">
        <v>8</v>
      </c>
      <c r="C136" s="70">
        <f>SUM(D136:J136)</f>
        <v>0</v>
      </c>
      <c r="D136" s="88"/>
      <c r="E136" s="88"/>
      <c r="F136" s="87"/>
      <c r="G136" s="87"/>
      <c r="H136" s="87"/>
      <c r="I136" s="87"/>
      <c r="J136" s="87"/>
      <c r="K136" s="62"/>
    </row>
    <row r="137" spans="1:11" s="5" customFormat="1" ht="15" customHeight="1">
      <c r="A137" s="91" t="s">
        <v>258</v>
      </c>
      <c r="B137" s="92" t="s">
        <v>9</v>
      </c>
      <c r="C137" s="70">
        <f>SUM(D137:J137)</f>
        <v>0</v>
      </c>
      <c r="D137" s="88">
        <f aca="true" t="shared" si="53" ref="D137:J137">SUM(D143+D153)</f>
        <v>0</v>
      </c>
      <c r="E137" s="88">
        <f t="shared" si="53"/>
        <v>0</v>
      </c>
      <c r="F137" s="87">
        <f>SUM(F143+F153)</f>
        <v>0</v>
      </c>
      <c r="G137" s="87">
        <f t="shared" si="53"/>
        <v>0</v>
      </c>
      <c r="H137" s="87">
        <f t="shared" si="53"/>
        <v>0</v>
      </c>
      <c r="I137" s="87">
        <f t="shared" si="53"/>
        <v>0</v>
      </c>
      <c r="J137" s="87">
        <f t="shared" si="53"/>
        <v>0</v>
      </c>
      <c r="K137" s="62"/>
    </row>
    <row r="138" spans="1:11" s="5" customFormat="1" ht="15" customHeight="1">
      <c r="A138" s="91"/>
      <c r="B138" s="92"/>
      <c r="C138" s="70"/>
      <c r="D138" s="95"/>
      <c r="E138" s="95"/>
      <c r="F138" s="70"/>
      <c r="G138" s="70"/>
      <c r="H138" s="70"/>
      <c r="I138" s="70"/>
      <c r="J138" s="70"/>
      <c r="K138" s="62"/>
    </row>
    <row r="139" spans="1:11" s="5" customFormat="1" ht="15" customHeight="1">
      <c r="A139" s="63"/>
      <c r="B139" s="64" t="s">
        <v>12</v>
      </c>
      <c r="C139" s="65"/>
      <c r="D139" s="65"/>
      <c r="E139" s="65"/>
      <c r="F139" s="65"/>
      <c r="G139" s="65"/>
      <c r="H139" s="65"/>
      <c r="I139" s="65"/>
      <c r="J139" s="65"/>
      <c r="K139" s="66"/>
    </row>
    <row r="140" spans="1:11" s="16" customFormat="1" ht="45.75" customHeight="1">
      <c r="A140" s="91" t="s">
        <v>259</v>
      </c>
      <c r="B140" s="92" t="s">
        <v>99</v>
      </c>
      <c r="C140" s="70">
        <f>SUM(C141:C144)</f>
        <v>0</v>
      </c>
      <c r="D140" s="95">
        <f>SUM(D141:D143)</f>
        <v>0</v>
      </c>
      <c r="E140" s="95">
        <f aca="true" t="shared" si="54" ref="E140:J140">SUM(E141:E143)</f>
        <v>0</v>
      </c>
      <c r="F140" s="70">
        <f t="shared" si="54"/>
        <v>0</v>
      </c>
      <c r="G140" s="70">
        <f t="shared" si="54"/>
        <v>0</v>
      </c>
      <c r="H140" s="70">
        <f t="shared" si="54"/>
        <v>0</v>
      </c>
      <c r="I140" s="70">
        <f t="shared" si="54"/>
        <v>0</v>
      </c>
      <c r="J140" s="70">
        <f t="shared" si="54"/>
        <v>0</v>
      </c>
      <c r="K140" s="62"/>
    </row>
    <row r="141" spans="1:11" s="7" customFormat="1" ht="15" customHeight="1">
      <c r="A141" s="91" t="s">
        <v>260</v>
      </c>
      <c r="B141" s="92" t="s">
        <v>7</v>
      </c>
      <c r="C141" s="70">
        <f>SUM(D141:J141)</f>
        <v>0</v>
      </c>
      <c r="D141" s="95">
        <f>SUM(D146)</f>
        <v>0</v>
      </c>
      <c r="E141" s="95">
        <f aca="true" t="shared" si="55" ref="E141:J141">SUM(E146)</f>
        <v>0</v>
      </c>
      <c r="F141" s="70">
        <f t="shared" si="55"/>
        <v>0</v>
      </c>
      <c r="G141" s="70">
        <f t="shared" si="55"/>
        <v>0</v>
      </c>
      <c r="H141" s="70">
        <f t="shared" si="55"/>
        <v>0</v>
      </c>
      <c r="I141" s="70">
        <f t="shared" si="55"/>
        <v>0</v>
      </c>
      <c r="J141" s="70">
        <f t="shared" si="55"/>
        <v>0</v>
      </c>
      <c r="K141" s="62"/>
    </row>
    <row r="142" spans="1:11" s="7" customFormat="1" ht="15" customHeight="1">
      <c r="A142" s="91" t="s">
        <v>261</v>
      </c>
      <c r="B142" s="92" t="s">
        <v>8</v>
      </c>
      <c r="C142" s="70">
        <f>SUM(D142:J142)</f>
        <v>0</v>
      </c>
      <c r="D142" s="95">
        <f>SUM(D147)</f>
        <v>0</v>
      </c>
      <c r="E142" s="95">
        <f aca="true" t="shared" si="56" ref="E142:J142">SUM(E147)</f>
        <v>0</v>
      </c>
      <c r="F142" s="70">
        <f t="shared" si="56"/>
        <v>0</v>
      </c>
      <c r="G142" s="70">
        <f t="shared" si="56"/>
        <v>0</v>
      </c>
      <c r="H142" s="70">
        <f t="shared" si="56"/>
        <v>0</v>
      </c>
      <c r="I142" s="70">
        <f t="shared" si="56"/>
        <v>0</v>
      </c>
      <c r="J142" s="70">
        <f t="shared" si="56"/>
        <v>0</v>
      </c>
      <c r="K142" s="62"/>
    </row>
    <row r="143" spans="1:11" s="7" customFormat="1" ht="15" customHeight="1">
      <c r="A143" s="91" t="s">
        <v>262</v>
      </c>
      <c r="B143" s="92" t="s">
        <v>9</v>
      </c>
      <c r="C143" s="70">
        <f>SUM(D143:J143)</f>
        <v>0</v>
      </c>
      <c r="D143" s="95">
        <f aca="true" t="shared" si="57" ref="D143:J143">SUM(D148)</f>
        <v>0</v>
      </c>
      <c r="E143" s="95">
        <f t="shared" si="57"/>
        <v>0</v>
      </c>
      <c r="F143" s="70">
        <f t="shared" si="57"/>
        <v>0</v>
      </c>
      <c r="G143" s="70">
        <f t="shared" si="57"/>
        <v>0</v>
      </c>
      <c r="H143" s="70">
        <f t="shared" si="57"/>
        <v>0</v>
      </c>
      <c r="I143" s="70">
        <f t="shared" si="57"/>
        <v>0</v>
      </c>
      <c r="J143" s="70">
        <f t="shared" si="57"/>
        <v>0</v>
      </c>
      <c r="K143" s="62"/>
    </row>
    <row r="144" spans="1:11" s="7" customFormat="1" ht="15" customHeight="1">
      <c r="A144" s="91"/>
      <c r="B144" s="92"/>
      <c r="C144" s="70"/>
      <c r="D144" s="95"/>
      <c r="E144" s="95"/>
      <c r="F144" s="70"/>
      <c r="G144" s="70"/>
      <c r="H144" s="70"/>
      <c r="I144" s="70"/>
      <c r="J144" s="70"/>
      <c r="K144" s="62"/>
    </row>
    <row r="145" spans="1:11" s="7" customFormat="1" ht="50.25" customHeight="1">
      <c r="A145" s="91" t="s">
        <v>263</v>
      </c>
      <c r="B145" s="92" t="s">
        <v>129</v>
      </c>
      <c r="C145" s="70">
        <f>SUM(C146:C149)</f>
        <v>0</v>
      </c>
      <c r="D145" s="95">
        <f>SUM(D146:D148)</f>
        <v>0</v>
      </c>
      <c r="E145" s="95">
        <f aca="true" t="shared" si="58" ref="E145:J145">SUM(E146:E148)</f>
        <v>0</v>
      </c>
      <c r="F145" s="70">
        <f t="shared" si="58"/>
        <v>0</v>
      </c>
      <c r="G145" s="70">
        <f t="shared" si="58"/>
        <v>0</v>
      </c>
      <c r="H145" s="70">
        <f t="shared" si="58"/>
        <v>0</v>
      </c>
      <c r="I145" s="70">
        <f t="shared" si="58"/>
        <v>0</v>
      </c>
      <c r="J145" s="70">
        <f t="shared" si="58"/>
        <v>0</v>
      </c>
      <c r="K145" s="62" t="s">
        <v>157</v>
      </c>
    </row>
    <row r="146" spans="1:11" s="7" customFormat="1" ht="15" customHeight="1">
      <c r="A146" s="91" t="s">
        <v>264</v>
      </c>
      <c r="B146" s="92" t="s">
        <v>7</v>
      </c>
      <c r="C146" s="70">
        <f>SUM(D146:J146)</f>
        <v>0</v>
      </c>
      <c r="D146" s="88"/>
      <c r="E146" s="88"/>
      <c r="F146" s="87"/>
      <c r="G146" s="87"/>
      <c r="H146" s="87"/>
      <c r="I146" s="87"/>
      <c r="J146" s="87"/>
      <c r="K146" s="62"/>
    </row>
    <row r="147" spans="1:11" s="7" customFormat="1" ht="15" customHeight="1">
      <c r="A147" s="91" t="s">
        <v>265</v>
      </c>
      <c r="B147" s="92" t="s">
        <v>8</v>
      </c>
      <c r="C147" s="70">
        <f>SUM(D147:J147)</f>
        <v>0</v>
      </c>
      <c r="D147" s="88"/>
      <c r="E147" s="88"/>
      <c r="F147" s="87"/>
      <c r="G147" s="87"/>
      <c r="H147" s="87"/>
      <c r="I147" s="87"/>
      <c r="J147" s="87"/>
      <c r="K147" s="62"/>
    </row>
    <row r="148" spans="1:11" s="7" customFormat="1" ht="15" customHeight="1">
      <c r="A148" s="91" t="s">
        <v>266</v>
      </c>
      <c r="B148" s="92" t="s">
        <v>9</v>
      </c>
      <c r="C148" s="70">
        <f>SUM(D148:J148)</f>
        <v>0</v>
      </c>
      <c r="D148" s="88"/>
      <c r="E148" s="88"/>
      <c r="F148" s="87"/>
      <c r="G148" s="87"/>
      <c r="H148" s="87"/>
      <c r="I148" s="87"/>
      <c r="J148" s="87"/>
      <c r="K148" s="62"/>
    </row>
    <row r="149" spans="1:11" s="5" customFormat="1" ht="15" customHeight="1">
      <c r="A149" s="91"/>
      <c r="B149" s="92"/>
      <c r="C149" s="70"/>
      <c r="D149" s="95"/>
      <c r="E149" s="95"/>
      <c r="F149" s="70"/>
      <c r="G149" s="70"/>
      <c r="H149" s="70"/>
      <c r="I149" s="70"/>
      <c r="J149" s="70"/>
      <c r="K149" s="62"/>
    </row>
    <row r="150" spans="1:11" s="5" customFormat="1" ht="15" customHeight="1">
      <c r="A150" s="63"/>
      <c r="B150" s="64" t="s">
        <v>23</v>
      </c>
      <c r="C150" s="65"/>
      <c r="D150" s="65"/>
      <c r="E150" s="65"/>
      <c r="F150" s="65"/>
      <c r="G150" s="65"/>
      <c r="H150" s="65"/>
      <c r="I150" s="65"/>
      <c r="J150" s="65"/>
      <c r="K150" s="66"/>
    </row>
    <row r="151" spans="1:11" s="16" customFormat="1" ht="15">
      <c r="A151" s="91" t="s">
        <v>267</v>
      </c>
      <c r="B151" s="92" t="s">
        <v>100</v>
      </c>
      <c r="C151" s="70">
        <f aca="true" t="shared" si="59" ref="C151:J151">SUM(C152:C153)</f>
        <v>0</v>
      </c>
      <c r="D151" s="88">
        <f t="shared" si="59"/>
        <v>0</v>
      </c>
      <c r="E151" s="88">
        <f t="shared" si="59"/>
        <v>0</v>
      </c>
      <c r="F151" s="87">
        <f t="shared" si="59"/>
        <v>0</v>
      </c>
      <c r="G151" s="87">
        <f t="shared" si="59"/>
        <v>0</v>
      </c>
      <c r="H151" s="87">
        <f t="shared" si="59"/>
        <v>0</v>
      </c>
      <c r="I151" s="87">
        <f t="shared" si="59"/>
        <v>0</v>
      </c>
      <c r="J151" s="87">
        <f t="shared" si="59"/>
        <v>0</v>
      </c>
      <c r="K151" s="94"/>
    </row>
    <row r="152" spans="1:11" s="7" customFormat="1" ht="15" customHeight="1">
      <c r="A152" s="91" t="s">
        <v>268</v>
      </c>
      <c r="B152" s="92" t="s">
        <v>7</v>
      </c>
      <c r="C152" s="70">
        <f>SUM(D152:J152)</f>
        <v>0</v>
      </c>
      <c r="D152" s="88">
        <f>SUM(D156)</f>
        <v>0</v>
      </c>
      <c r="E152" s="88">
        <f aca="true" t="shared" si="60" ref="E152:J152">SUM(E156)</f>
        <v>0</v>
      </c>
      <c r="F152" s="87">
        <f t="shared" si="60"/>
        <v>0</v>
      </c>
      <c r="G152" s="87">
        <f t="shared" si="60"/>
        <v>0</v>
      </c>
      <c r="H152" s="87">
        <f t="shared" si="60"/>
        <v>0</v>
      </c>
      <c r="I152" s="87">
        <f t="shared" si="60"/>
        <v>0</v>
      </c>
      <c r="J152" s="87">
        <f t="shared" si="60"/>
        <v>0</v>
      </c>
      <c r="K152" s="62"/>
    </row>
    <row r="153" spans="1:11" s="7" customFormat="1" ht="15" customHeight="1">
      <c r="A153" s="91" t="s">
        <v>269</v>
      </c>
      <c r="B153" s="92" t="s">
        <v>9</v>
      </c>
      <c r="C153" s="70">
        <f>SUM(D153:J153)</f>
        <v>0</v>
      </c>
      <c r="D153" s="88">
        <f>SUM(D157)</f>
        <v>0</v>
      </c>
      <c r="E153" s="88">
        <f aca="true" t="shared" si="61" ref="E153:J153">SUM(E157)</f>
        <v>0</v>
      </c>
      <c r="F153" s="87">
        <f t="shared" si="61"/>
        <v>0</v>
      </c>
      <c r="G153" s="87">
        <f t="shared" si="61"/>
        <v>0</v>
      </c>
      <c r="H153" s="87">
        <f t="shared" si="61"/>
        <v>0</v>
      </c>
      <c r="I153" s="87">
        <f t="shared" si="61"/>
        <v>0</v>
      </c>
      <c r="J153" s="87">
        <f t="shared" si="61"/>
        <v>0</v>
      </c>
      <c r="K153" s="62"/>
    </row>
    <row r="154" spans="1:11" s="5" customFormat="1" ht="15" customHeight="1">
      <c r="A154" s="91"/>
      <c r="B154" s="92"/>
      <c r="C154" s="70"/>
      <c r="D154" s="95"/>
      <c r="E154" s="95"/>
      <c r="F154" s="70"/>
      <c r="G154" s="70"/>
      <c r="H154" s="70"/>
      <c r="I154" s="70"/>
      <c r="J154" s="70"/>
      <c r="K154" s="62"/>
    </row>
    <row r="155" spans="1:11" s="7" customFormat="1" ht="81" customHeight="1">
      <c r="A155" s="86" t="s">
        <v>270</v>
      </c>
      <c r="B155" s="92" t="s">
        <v>130</v>
      </c>
      <c r="C155" s="70">
        <f>SUM(D155:J155)</f>
        <v>0</v>
      </c>
      <c r="D155" s="88">
        <f aca="true" t="shared" si="62" ref="D155:J155">SUM(D156:D157)</f>
        <v>0</v>
      </c>
      <c r="E155" s="88">
        <f t="shared" si="62"/>
        <v>0</v>
      </c>
      <c r="F155" s="87">
        <f t="shared" si="62"/>
        <v>0</v>
      </c>
      <c r="G155" s="87">
        <f t="shared" si="62"/>
        <v>0</v>
      </c>
      <c r="H155" s="87">
        <f t="shared" si="62"/>
        <v>0</v>
      </c>
      <c r="I155" s="87">
        <f t="shared" si="62"/>
        <v>0</v>
      </c>
      <c r="J155" s="87">
        <f t="shared" si="62"/>
        <v>0</v>
      </c>
      <c r="K155" s="62" t="s">
        <v>157</v>
      </c>
    </row>
    <row r="156" spans="1:11" s="7" customFormat="1" ht="15" customHeight="1">
      <c r="A156" s="86" t="s">
        <v>271</v>
      </c>
      <c r="B156" s="92" t="s">
        <v>7</v>
      </c>
      <c r="C156" s="70">
        <f>SUM(D156:J156)</f>
        <v>0</v>
      </c>
      <c r="D156" s="88">
        <f>SUM(D159+D162)</f>
        <v>0</v>
      </c>
      <c r="E156" s="88">
        <f aca="true" t="shared" si="63" ref="E156:J156">SUM(E159+E162)</f>
        <v>0</v>
      </c>
      <c r="F156" s="87">
        <f t="shared" si="63"/>
        <v>0</v>
      </c>
      <c r="G156" s="87">
        <f t="shared" si="63"/>
        <v>0</v>
      </c>
      <c r="H156" s="87">
        <f t="shared" si="63"/>
        <v>0</v>
      </c>
      <c r="I156" s="87">
        <f t="shared" si="63"/>
        <v>0</v>
      </c>
      <c r="J156" s="87">
        <f t="shared" si="63"/>
        <v>0</v>
      </c>
      <c r="K156" s="62"/>
    </row>
    <row r="157" spans="1:11" s="7" customFormat="1" ht="15" customHeight="1">
      <c r="A157" s="86" t="s">
        <v>272</v>
      </c>
      <c r="B157" s="92" t="s">
        <v>9</v>
      </c>
      <c r="C157" s="70">
        <f>SUM(D157:J157)</f>
        <v>0</v>
      </c>
      <c r="D157" s="88">
        <f>SUM(D160+D163)</f>
        <v>0</v>
      </c>
      <c r="E157" s="88">
        <f aca="true" t="shared" si="64" ref="E157:J157">SUM(E160+E163)</f>
        <v>0</v>
      </c>
      <c r="F157" s="87">
        <f t="shared" si="64"/>
        <v>0</v>
      </c>
      <c r="G157" s="87">
        <f t="shared" si="64"/>
        <v>0</v>
      </c>
      <c r="H157" s="87">
        <f t="shared" si="64"/>
        <v>0</v>
      </c>
      <c r="I157" s="87">
        <f t="shared" si="64"/>
        <v>0</v>
      </c>
      <c r="J157" s="87">
        <f t="shared" si="64"/>
        <v>0</v>
      </c>
      <c r="K157" s="62"/>
    </row>
    <row r="158" spans="1:11" s="7" customFormat="1" ht="15" customHeight="1">
      <c r="A158" s="86"/>
      <c r="B158" s="101" t="s">
        <v>110</v>
      </c>
      <c r="C158" s="70"/>
      <c r="D158" s="88"/>
      <c r="E158" s="88"/>
      <c r="F158" s="87"/>
      <c r="G158" s="87"/>
      <c r="H158" s="87"/>
      <c r="I158" s="87"/>
      <c r="J158" s="87"/>
      <c r="K158" s="62"/>
    </row>
    <row r="159" spans="1:11" s="7" customFormat="1" ht="15" customHeight="1">
      <c r="A159" s="86" t="s">
        <v>273</v>
      </c>
      <c r="B159" s="92" t="s">
        <v>7</v>
      </c>
      <c r="C159" s="70">
        <f>SUM(D159:J159)</f>
        <v>0</v>
      </c>
      <c r="D159" s="88"/>
      <c r="E159" s="88"/>
      <c r="F159" s="87"/>
      <c r="G159" s="87"/>
      <c r="H159" s="87"/>
      <c r="I159" s="87"/>
      <c r="J159" s="87"/>
      <c r="K159" s="62"/>
    </row>
    <row r="160" spans="1:11" s="7" customFormat="1" ht="15" customHeight="1">
      <c r="A160" s="86" t="s">
        <v>446</v>
      </c>
      <c r="B160" s="92" t="s">
        <v>9</v>
      </c>
      <c r="C160" s="70">
        <f>SUM(D160:J160)</f>
        <v>0</v>
      </c>
      <c r="D160" s="88"/>
      <c r="E160" s="88"/>
      <c r="F160" s="87"/>
      <c r="G160" s="87"/>
      <c r="H160" s="87"/>
      <c r="I160" s="87"/>
      <c r="J160" s="87"/>
      <c r="K160" s="62"/>
    </row>
    <row r="161" spans="1:11" s="7" customFormat="1" ht="35.25" customHeight="1">
      <c r="A161" s="86"/>
      <c r="B161" s="101" t="s">
        <v>111</v>
      </c>
      <c r="C161" s="70"/>
      <c r="D161" s="88"/>
      <c r="E161" s="88"/>
      <c r="F161" s="87"/>
      <c r="G161" s="87"/>
      <c r="H161" s="87"/>
      <c r="I161" s="87"/>
      <c r="J161" s="87"/>
      <c r="K161" s="62"/>
    </row>
    <row r="162" spans="1:11" s="7" customFormat="1" ht="15" customHeight="1">
      <c r="A162" s="86" t="s">
        <v>274</v>
      </c>
      <c r="B162" s="92" t="s">
        <v>7</v>
      </c>
      <c r="C162" s="70">
        <f>SUM(D162:J162)</f>
        <v>0</v>
      </c>
      <c r="D162" s="88"/>
      <c r="E162" s="88"/>
      <c r="F162" s="87"/>
      <c r="G162" s="87"/>
      <c r="H162" s="87"/>
      <c r="I162" s="87"/>
      <c r="J162" s="87"/>
      <c r="K162" s="62"/>
    </row>
    <row r="163" spans="1:11" s="7" customFormat="1" ht="15" customHeight="1">
      <c r="A163" s="86" t="s">
        <v>275</v>
      </c>
      <c r="B163" s="92" t="s">
        <v>9</v>
      </c>
      <c r="C163" s="70">
        <f>SUM(D163:J163)</f>
        <v>0</v>
      </c>
      <c r="D163" s="88"/>
      <c r="E163" s="88"/>
      <c r="F163" s="87"/>
      <c r="G163" s="87"/>
      <c r="H163" s="87"/>
      <c r="I163" s="87"/>
      <c r="J163" s="87"/>
      <c r="K163" s="62"/>
    </row>
    <row r="164" spans="1:11" s="5" customFormat="1" ht="15" customHeight="1">
      <c r="A164" s="91"/>
      <c r="B164" s="92"/>
      <c r="C164" s="87"/>
      <c r="D164" s="88"/>
      <c r="E164" s="88"/>
      <c r="F164" s="87"/>
      <c r="G164" s="87"/>
      <c r="H164" s="87"/>
      <c r="I164" s="87"/>
      <c r="J164" s="87"/>
      <c r="K164" s="62"/>
    </row>
    <row r="165" spans="1:11" s="5" customFormat="1" ht="15" customHeight="1">
      <c r="A165" s="63"/>
      <c r="B165" s="64" t="s">
        <v>15</v>
      </c>
      <c r="C165" s="65"/>
      <c r="D165" s="65"/>
      <c r="E165" s="65"/>
      <c r="F165" s="65"/>
      <c r="G165" s="65"/>
      <c r="H165" s="65"/>
      <c r="I165" s="65"/>
      <c r="J165" s="65"/>
      <c r="K165" s="66"/>
    </row>
    <row r="166" spans="1:11" s="15" customFormat="1" ht="22.5" customHeight="1">
      <c r="A166" s="91" t="s">
        <v>276</v>
      </c>
      <c r="B166" s="92" t="s">
        <v>16</v>
      </c>
      <c r="C166" s="70">
        <f>SUM(D166:J166)</f>
        <v>2253304.7365</v>
      </c>
      <c r="D166" s="95">
        <f>SUM(D167:D170)</f>
        <v>364991.669</v>
      </c>
      <c r="E166" s="95">
        <f aca="true" t="shared" si="65" ref="E166:J166">SUM(E167:E170)</f>
        <v>311126.389</v>
      </c>
      <c r="F166" s="70">
        <f>SUM(F167:F170)</f>
        <v>336877.03650000005</v>
      </c>
      <c r="G166" s="70">
        <f t="shared" si="65"/>
        <v>320794.142</v>
      </c>
      <c r="H166" s="70">
        <f t="shared" si="65"/>
        <v>306232.4</v>
      </c>
      <c r="I166" s="70">
        <f t="shared" si="65"/>
        <v>306312.4</v>
      </c>
      <c r="J166" s="70">
        <f t="shared" si="65"/>
        <v>306970.7</v>
      </c>
      <c r="K166" s="93"/>
    </row>
    <row r="167" spans="1:11" s="5" customFormat="1" ht="15" customHeight="1">
      <c r="A167" s="91" t="s">
        <v>277</v>
      </c>
      <c r="B167" s="92" t="s">
        <v>7</v>
      </c>
      <c r="C167" s="70">
        <f>SUM(D167:J167)</f>
        <v>798786.4605</v>
      </c>
      <c r="D167" s="95">
        <f>SUM(D173+D183+D208+D219+D223+D238+D249+D253+D254+D260+D268)</f>
        <v>163755.794</v>
      </c>
      <c r="E167" s="95">
        <f>SUM(E173+E183+E208+E219+E223+E238+E249+E253+E254+E260+E268)</f>
        <v>130901.93800000001</v>
      </c>
      <c r="F167" s="70">
        <f>SUM(F173+F183+F208+F219+F223+F238+F249+F253+F254+F260+F261+F268)</f>
        <v>102652.23650000003</v>
      </c>
      <c r="G167" s="70">
        <f>SUM(G173+G183+G208+G219+G223+G238+G249+G253+G254+G260+G261+G268)</f>
        <v>104079.992</v>
      </c>
      <c r="H167" s="70">
        <f>SUM(H173+H183+H208+H219+H223+H238+H249+H253+H254+H260+H268)</f>
        <v>98859.40000000001</v>
      </c>
      <c r="I167" s="70">
        <f>SUM(I173+I183+I208+I219+I223+I238+I249+I253+I254+I260+I268)</f>
        <v>98939.4</v>
      </c>
      <c r="J167" s="70">
        <f>SUM(J173+J183+J208+J219+J223+J238+J249+J253+J254+J260+J268)</f>
        <v>99597.7</v>
      </c>
      <c r="K167" s="89"/>
    </row>
    <row r="168" spans="1:11" s="5" customFormat="1" ht="15" customHeight="1">
      <c r="A168" s="91" t="s">
        <v>278</v>
      </c>
      <c r="B168" s="92" t="s">
        <v>8</v>
      </c>
      <c r="C168" s="70">
        <f>SUM(D168:J168)</f>
        <v>7508.806</v>
      </c>
      <c r="D168" s="95">
        <f aca="true" t="shared" si="66" ref="D168:J168">SUM(D209+D240+D270)</f>
        <v>1155.675</v>
      </c>
      <c r="E168" s="95">
        <f t="shared" si="66"/>
        <v>2441.431</v>
      </c>
      <c r="F168" s="70">
        <f t="shared" si="66"/>
        <v>3911.7</v>
      </c>
      <c r="G168" s="70">
        <f t="shared" si="66"/>
        <v>0</v>
      </c>
      <c r="H168" s="70">
        <f t="shared" si="66"/>
        <v>0</v>
      </c>
      <c r="I168" s="70">
        <f t="shared" si="66"/>
        <v>0</v>
      </c>
      <c r="J168" s="70">
        <f t="shared" si="66"/>
        <v>0</v>
      </c>
      <c r="K168" s="62"/>
    </row>
    <row r="169" spans="1:11" s="5" customFormat="1" ht="15" customHeight="1">
      <c r="A169" s="91" t="s">
        <v>279</v>
      </c>
      <c r="B169" s="92" t="s">
        <v>9</v>
      </c>
      <c r="C169" s="70">
        <f>SUM(D169:J169)</f>
        <v>1428312.07</v>
      </c>
      <c r="D169" s="95">
        <f aca="true" t="shared" si="67" ref="D169:J169">SUM(D174+D184+D210+D216+D230+D235+D239+D250+D255+D262+D269)</f>
        <v>195882.8</v>
      </c>
      <c r="E169" s="95">
        <f t="shared" si="67"/>
        <v>177783.02000000002</v>
      </c>
      <c r="F169" s="70">
        <f t="shared" si="67"/>
        <v>228613.1</v>
      </c>
      <c r="G169" s="70">
        <f t="shared" si="67"/>
        <v>213514.15</v>
      </c>
      <c r="H169" s="70">
        <f t="shared" si="67"/>
        <v>204173</v>
      </c>
      <c r="I169" s="70">
        <f t="shared" si="67"/>
        <v>204173</v>
      </c>
      <c r="J169" s="70">
        <f t="shared" si="67"/>
        <v>204173</v>
      </c>
      <c r="K169" s="62"/>
    </row>
    <row r="170" spans="1:11" s="5" customFormat="1" ht="15" customHeight="1">
      <c r="A170" s="91" t="s">
        <v>280</v>
      </c>
      <c r="B170" s="98" t="s">
        <v>10</v>
      </c>
      <c r="C170" s="70">
        <f>SUM(D170:J170)</f>
        <v>18697.4</v>
      </c>
      <c r="D170" s="95">
        <f>SUM(D220+D227)</f>
        <v>4197.4</v>
      </c>
      <c r="E170" s="95">
        <f aca="true" t="shared" si="68" ref="E170:J170">SUM(E220+E227)</f>
        <v>0</v>
      </c>
      <c r="F170" s="70">
        <f t="shared" si="68"/>
        <v>1700</v>
      </c>
      <c r="G170" s="70">
        <f t="shared" si="68"/>
        <v>3200</v>
      </c>
      <c r="H170" s="70">
        <f t="shared" si="68"/>
        <v>3200</v>
      </c>
      <c r="I170" s="70">
        <f t="shared" si="68"/>
        <v>3200</v>
      </c>
      <c r="J170" s="70">
        <f t="shared" si="68"/>
        <v>3200</v>
      </c>
      <c r="K170" s="62"/>
    </row>
    <row r="171" spans="1:11" s="5" customFormat="1" ht="15" customHeight="1">
      <c r="A171" s="91"/>
      <c r="B171" s="98"/>
      <c r="C171" s="70"/>
      <c r="D171" s="88"/>
      <c r="E171" s="88"/>
      <c r="F171" s="87"/>
      <c r="G171" s="87"/>
      <c r="H171" s="87"/>
      <c r="I171" s="87"/>
      <c r="J171" s="87"/>
      <c r="K171" s="62"/>
    </row>
    <row r="172" spans="1:11" s="16" customFormat="1" ht="50.25" customHeight="1">
      <c r="A172" s="86" t="s">
        <v>281</v>
      </c>
      <c r="B172" s="92" t="s">
        <v>131</v>
      </c>
      <c r="C172" s="87">
        <f>SUM(C173:C174)</f>
        <v>11363.233</v>
      </c>
      <c r="D172" s="88">
        <f>SUM(D173:D174)</f>
        <v>0</v>
      </c>
      <c r="E172" s="88">
        <f aca="true" t="shared" si="69" ref="E172:J172">SUM(E173:E174)</f>
        <v>0</v>
      </c>
      <c r="F172" s="87">
        <f t="shared" si="69"/>
        <v>970.378</v>
      </c>
      <c r="G172" s="87">
        <f t="shared" si="69"/>
        <v>1842.855</v>
      </c>
      <c r="H172" s="87">
        <f t="shared" si="69"/>
        <v>3550</v>
      </c>
      <c r="I172" s="87">
        <f t="shared" si="69"/>
        <v>2000</v>
      </c>
      <c r="J172" s="87">
        <f t="shared" si="69"/>
        <v>3000</v>
      </c>
      <c r="K172" s="62" t="s">
        <v>164</v>
      </c>
    </row>
    <row r="173" spans="1:11" s="7" customFormat="1" ht="15" customHeight="1">
      <c r="A173" s="86" t="s">
        <v>282</v>
      </c>
      <c r="B173" s="92" t="s">
        <v>7</v>
      </c>
      <c r="C173" s="70">
        <f>SUM(D173:J173)</f>
        <v>11363.233</v>
      </c>
      <c r="D173" s="88">
        <f aca="true" t="shared" si="70" ref="D173:J173">SUM(D176:D180)</f>
        <v>0</v>
      </c>
      <c r="E173" s="88">
        <f t="shared" si="70"/>
        <v>0</v>
      </c>
      <c r="F173" s="87">
        <f t="shared" si="70"/>
        <v>970.378</v>
      </c>
      <c r="G173" s="87">
        <f t="shared" si="70"/>
        <v>1842.855</v>
      </c>
      <c r="H173" s="87">
        <f t="shared" si="70"/>
        <v>3550</v>
      </c>
      <c r="I173" s="87">
        <f t="shared" si="70"/>
        <v>2000</v>
      </c>
      <c r="J173" s="87">
        <f t="shared" si="70"/>
        <v>3000</v>
      </c>
      <c r="K173" s="62"/>
    </row>
    <row r="174" spans="1:11" s="7" customFormat="1" ht="15" customHeight="1">
      <c r="A174" s="86" t="s">
        <v>283</v>
      </c>
      <c r="B174" s="92" t="s">
        <v>9</v>
      </c>
      <c r="C174" s="70">
        <f aca="true" t="shared" si="71" ref="C174:C180">SUM(D174:J174)</f>
        <v>0</v>
      </c>
      <c r="D174" s="88"/>
      <c r="E174" s="88"/>
      <c r="F174" s="87"/>
      <c r="G174" s="87"/>
      <c r="H174" s="87"/>
      <c r="I174" s="87"/>
      <c r="J174" s="87"/>
      <c r="K174" s="62"/>
    </row>
    <row r="175" spans="1:11" s="13" customFormat="1" ht="15" customHeight="1">
      <c r="A175" s="91"/>
      <c r="B175" s="98" t="s">
        <v>19</v>
      </c>
      <c r="C175" s="70"/>
      <c r="D175" s="96"/>
      <c r="E175" s="96"/>
      <c r="F175" s="97"/>
      <c r="G175" s="97"/>
      <c r="H175" s="97"/>
      <c r="I175" s="97"/>
      <c r="J175" s="97"/>
      <c r="K175" s="94"/>
    </row>
    <row r="176" spans="1:11" s="7" customFormat="1" ht="15" customHeight="1">
      <c r="A176" s="91" t="s">
        <v>284</v>
      </c>
      <c r="B176" s="92" t="s">
        <v>75</v>
      </c>
      <c r="C176" s="70">
        <f>SUM(D176:J176)</f>
        <v>950</v>
      </c>
      <c r="D176" s="88"/>
      <c r="E176" s="88"/>
      <c r="F176" s="87"/>
      <c r="G176" s="87">
        <f>1500-550</f>
        <v>950</v>
      </c>
      <c r="H176" s="87"/>
      <c r="I176" s="87"/>
      <c r="J176" s="87"/>
      <c r="K176" s="62"/>
    </row>
    <row r="177" spans="1:11" s="7" customFormat="1" ht="15" customHeight="1">
      <c r="A177" s="91" t="s">
        <v>285</v>
      </c>
      <c r="B177" s="92" t="s">
        <v>28</v>
      </c>
      <c r="C177" s="70">
        <f>SUM(D177:J177)</f>
        <v>1863.2330000000002</v>
      </c>
      <c r="D177" s="88"/>
      <c r="E177" s="88"/>
      <c r="F177" s="87">
        <f>970.378</f>
        <v>970.378</v>
      </c>
      <c r="G177" s="87">
        <v>892.855</v>
      </c>
      <c r="H177" s="87"/>
      <c r="I177" s="87"/>
      <c r="J177" s="87"/>
      <c r="K177" s="62"/>
    </row>
    <row r="178" spans="1:11" s="7" customFormat="1" ht="15" customHeight="1">
      <c r="A178" s="91" t="s">
        <v>286</v>
      </c>
      <c r="B178" s="92" t="s">
        <v>29</v>
      </c>
      <c r="C178" s="70">
        <f t="shared" si="71"/>
        <v>3550</v>
      </c>
      <c r="D178" s="88"/>
      <c r="E178" s="88"/>
      <c r="F178" s="87"/>
      <c r="G178" s="87"/>
      <c r="H178" s="87">
        <v>3550</v>
      </c>
      <c r="I178" s="87"/>
      <c r="J178" s="87"/>
      <c r="K178" s="62"/>
    </row>
    <row r="179" spans="1:11" s="7" customFormat="1" ht="15" customHeight="1">
      <c r="A179" s="91" t="s">
        <v>287</v>
      </c>
      <c r="B179" s="92" t="s">
        <v>30</v>
      </c>
      <c r="C179" s="70">
        <f t="shared" si="71"/>
        <v>2000</v>
      </c>
      <c r="D179" s="88"/>
      <c r="E179" s="88"/>
      <c r="F179" s="87"/>
      <c r="G179" s="87"/>
      <c r="H179" s="87"/>
      <c r="I179" s="87">
        <v>2000</v>
      </c>
      <c r="J179" s="87"/>
      <c r="K179" s="62"/>
    </row>
    <row r="180" spans="1:11" s="7" customFormat="1" ht="15" customHeight="1">
      <c r="A180" s="91" t="s">
        <v>288</v>
      </c>
      <c r="B180" s="92" t="s">
        <v>76</v>
      </c>
      <c r="C180" s="70">
        <f t="shared" si="71"/>
        <v>3000</v>
      </c>
      <c r="D180" s="88"/>
      <c r="E180" s="88"/>
      <c r="F180" s="87"/>
      <c r="G180" s="87"/>
      <c r="H180" s="87"/>
      <c r="I180" s="87"/>
      <c r="J180" s="87">
        <v>3000</v>
      </c>
      <c r="K180" s="62"/>
    </row>
    <row r="181" spans="1:11" s="5" customFormat="1" ht="15" customHeight="1">
      <c r="A181" s="91"/>
      <c r="B181" s="92"/>
      <c r="C181" s="70"/>
      <c r="D181" s="88"/>
      <c r="E181" s="88"/>
      <c r="F181" s="87"/>
      <c r="G181" s="87"/>
      <c r="H181" s="87"/>
      <c r="I181" s="87"/>
      <c r="J181" s="87"/>
      <c r="K181" s="62"/>
    </row>
    <row r="182" spans="1:11" s="15" customFormat="1" ht="90">
      <c r="A182" s="91" t="s">
        <v>289</v>
      </c>
      <c r="B182" s="92" t="s">
        <v>132</v>
      </c>
      <c r="C182" s="87">
        <f>SUM(C183:C184)</f>
        <v>29275.158120000004</v>
      </c>
      <c r="D182" s="88">
        <f aca="true" t="shared" si="72" ref="D182:J182">SUM(D183:D184)</f>
        <v>8429.987000000001</v>
      </c>
      <c r="E182" s="88">
        <f>SUM(E183:E184)</f>
        <v>8229.652999999998</v>
      </c>
      <c r="F182" s="87">
        <f t="shared" si="72"/>
        <v>3454.91525</v>
      </c>
      <c r="G182" s="87">
        <f t="shared" si="72"/>
        <v>9160.60287</v>
      </c>
      <c r="H182" s="87">
        <f t="shared" si="72"/>
        <v>0</v>
      </c>
      <c r="I182" s="87">
        <f t="shared" si="72"/>
        <v>0</v>
      </c>
      <c r="J182" s="87">
        <f t="shared" si="72"/>
        <v>0</v>
      </c>
      <c r="K182" s="62" t="s">
        <v>179</v>
      </c>
    </row>
    <row r="183" spans="1:11" s="5" customFormat="1" ht="15" customHeight="1">
      <c r="A183" s="91" t="s">
        <v>290</v>
      </c>
      <c r="B183" s="92" t="s">
        <v>7</v>
      </c>
      <c r="C183" s="70">
        <f aca="true" t="shared" si="73" ref="C183:C205">SUM(D183:J183)</f>
        <v>27251.358120000004</v>
      </c>
      <c r="D183" s="88">
        <v>7281.987</v>
      </c>
      <c r="E183" s="88">
        <f aca="true" t="shared" si="74" ref="E183:J183">E186+E198</f>
        <v>7353.852999999999</v>
      </c>
      <c r="F183" s="87">
        <f t="shared" si="74"/>
        <v>3454.91525</v>
      </c>
      <c r="G183" s="87">
        <f t="shared" si="74"/>
        <v>9160.60287</v>
      </c>
      <c r="H183" s="87">
        <f t="shared" si="74"/>
        <v>0</v>
      </c>
      <c r="I183" s="87">
        <f t="shared" si="74"/>
        <v>0</v>
      </c>
      <c r="J183" s="87">
        <f t="shared" si="74"/>
        <v>0</v>
      </c>
      <c r="K183" s="89"/>
    </row>
    <row r="184" spans="1:11" s="5" customFormat="1" ht="15" customHeight="1">
      <c r="A184" s="91" t="s">
        <v>291</v>
      </c>
      <c r="B184" s="92" t="s">
        <v>9</v>
      </c>
      <c r="C184" s="70">
        <f t="shared" si="73"/>
        <v>2023.8</v>
      </c>
      <c r="D184" s="88">
        <v>1148</v>
      </c>
      <c r="E184" s="88">
        <v>875.8</v>
      </c>
      <c r="F184" s="87"/>
      <c r="G184" s="87"/>
      <c r="H184" s="87"/>
      <c r="I184" s="87"/>
      <c r="J184" s="87"/>
      <c r="K184" s="89"/>
    </row>
    <row r="185" spans="1:11" s="15" customFormat="1" ht="15" customHeight="1">
      <c r="A185" s="91" t="s">
        <v>292</v>
      </c>
      <c r="B185" s="98" t="s">
        <v>85</v>
      </c>
      <c r="C185" s="70">
        <f t="shared" si="73"/>
        <v>25560.96912</v>
      </c>
      <c r="D185" s="88">
        <f aca="true" t="shared" si="75" ref="D185:J185">SUM(D187:D197)</f>
        <v>8429.987000000001</v>
      </c>
      <c r="E185" s="88">
        <f t="shared" si="75"/>
        <v>7174.4529999999995</v>
      </c>
      <c r="F185" s="87">
        <f t="shared" si="75"/>
        <v>1495.91825</v>
      </c>
      <c r="G185" s="87">
        <f t="shared" si="75"/>
        <v>8460.61087</v>
      </c>
      <c r="H185" s="87">
        <f t="shared" si="75"/>
        <v>0</v>
      </c>
      <c r="I185" s="87">
        <f t="shared" si="75"/>
        <v>0</v>
      </c>
      <c r="J185" s="87">
        <f t="shared" si="75"/>
        <v>0</v>
      </c>
      <c r="K185" s="94"/>
    </row>
    <row r="186" spans="1:11" s="6" customFormat="1" ht="20.25" customHeight="1">
      <c r="A186" s="91" t="s">
        <v>293</v>
      </c>
      <c r="B186" s="104" t="s">
        <v>86</v>
      </c>
      <c r="C186" s="99">
        <f t="shared" si="73"/>
        <v>23537.16912</v>
      </c>
      <c r="D186" s="96">
        <f>D185-D184</f>
        <v>7281.987000000001</v>
      </c>
      <c r="E186" s="96">
        <f>E185-E184</f>
        <v>6298.652999999999</v>
      </c>
      <c r="F186" s="97">
        <f>F185</f>
        <v>1495.91825</v>
      </c>
      <c r="G186" s="97">
        <f>G185</f>
        <v>8460.61087</v>
      </c>
      <c r="H186" s="97">
        <f>H185</f>
        <v>0</v>
      </c>
      <c r="I186" s="97">
        <f>I185</f>
        <v>0</v>
      </c>
      <c r="J186" s="97">
        <f>J185</f>
        <v>0</v>
      </c>
      <c r="K186" s="94"/>
    </row>
    <row r="187" spans="1:11" s="13" customFormat="1" ht="15" customHeight="1">
      <c r="A187" s="91" t="s">
        <v>294</v>
      </c>
      <c r="B187" s="98" t="s">
        <v>77</v>
      </c>
      <c r="C187" s="70">
        <f t="shared" si="73"/>
        <v>1998.382</v>
      </c>
      <c r="D187" s="88">
        <v>1998.382</v>
      </c>
      <c r="E187" s="96"/>
      <c r="F187" s="97"/>
      <c r="G187" s="97"/>
      <c r="H187" s="97"/>
      <c r="I187" s="97"/>
      <c r="J187" s="97"/>
      <c r="K187" s="94"/>
    </row>
    <row r="188" spans="1:11" s="7" customFormat="1" ht="15" customHeight="1">
      <c r="A188" s="91" t="s">
        <v>295</v>
      </c>
      <c r="B188" s="92" t="s">
        <v>453</v>
      </c>
      <c r="C188" s="70">
        <f t="shared" si="73"/>
        <v>1301.29484</v>
      </c>
      <c r="D188" s="88"/>
      <c r="E188" s="88"/>
      <c r="F188" s="87">
        <f>1300+26-450.34616</f>
        <v>875.65384</v>
      </c>
      <c r="G188" s="87">
        <f>425.641</f>
        <v>425.641</v>
      </c>
      <c r="H188" s="87"/>
      <c r="I188" s="87"/>
      <c r="J188" s="87"/>
      <c r="K188" s="62"/>
    </row>
    <row r="189" spans="1:11" s="7" customFormat="1" ht="15">
      <c r="A189" s="91" t="s">
        <v>296</v>
      </c>
      <c r="B189" s="92" t="s">
        <v>24</v>
      </c>
      <c r="C189" s="70">
        <f t="shared" si="73"/>
        <v>909</v>
      </c>
      <c r="D189" s="88"/>
      <c r="E189" s="88">
        <f>875.8+624.2-591</f>
        <v>909</v>
      </c>
      <c r="F189" s="87"/>
      <c r="G189" s="87"/>
      <c r="H189" s="87"/>
      <c r="I189" s="87"/>
      <c r="J189" s="87"/>
      <c r="K189" s="62"/>
    </row>
    <row r="190" spans="1:11" s="13" customFormat="1" ht="15" customHeight="1">
      <c r="A190" s="91" t="s">
        <v>297</v>
      </c>
      <c r="B190" s="98" t="s">
        <v>161</v>
      </c>
      <c r="C190" s="70">
        <f t="shared" si="73"/>
        <v>5662.9439999999995</v>
      </c>
      <c r="D190" s="88">
        <v>2785.291</v>
      </c>
      <c r="E190" s="88">
        <f>2877.653</f>
        <v>2877.653</v>
      </c>
      <c r="F190" s="87">
        <f>2300-186.99-1328.01-785</f>
        <v>0</v>
      </c>
      <c r="G190" s="87"/>
      <c r="H190" s="87"/>
      <c r="I190" s="87"/>
      <c r="J190" s="87"/>
      <c r="K190" s="94"/>
    </row>
    <row r="191" spans="1:11" s="7" customFormat="1" ht="15" customHeight="1">
      <c r="A191" s="91" t="s">
        <v>298</v>
      </c>
      <c r="B191" s="92" t="s">
        <v>448</v>
      </c>
      <c r="C191" s="70">
        <f t="shared" si="73"/>
        <v>2100</v>
      </c>
      <c r="D191" s="88"/>
      <c r="E191" s="88"/>
      <c r="F191" s="87"/>
      <c r="G191" s="87">
        <v>2100</v>
      </c>
      <c r="H191" s="87"/>
      <c r="I191" s="87"/>
      <c r="J191" s="87"/>
      <c r="K191" s="62"/>
    </row>
    <row r="192" spans="1:11" s="7" customFormat="1" ht="15">
      <c r="A192" s="91" t="s">
        <v>299</v>
      </c>
      <c r="B192" s="92" t="s">
        <v>449</v>
      </c>
      <c r="C192" s="70">
        <f t="shared" si="73"/>
        <v>4554.138870000001</v>
      </c>
      <c r="D192" s="88">
        <f>1383.314+1148</f>
        <v>2531.3140000000003</v>
      </c>
      <c r="E192" s="88"/>
      <c r="F192" s="87"/>
      <c r="G192" s="87">
        <f>2500-477.17513</f>
        <v>2022.82487</v>
      </c>
      <c r="H192" s="87"/>
      <c r="I192" s="87"/>
      <c r="J192" s="87"/>
      <c r="K192" s="62"/>
    </row>
    <row r="193" spans="1:11" s="7" customFormat="1" ht="15">
      <c r="A193" s="91" t="s">
        <v>300</v>
      </c>
      <c r="B193" s="92" t="s">
        <v>197</v>
      </c>
      <c r="C193" s="70">
        <f t="shared" si="73"/>
        <v>739</v>
      </c>
      <c r="D193" s="88">
        <f>1000-535</f>
        <v>465</v>
      </c>
      <c r="E193" s="88"/>
      <c r="F193" s="87">
        <f>274</f>
        <v>274</v>
      </c>
      <c r="G193" s="87"/>
      <c r="H193" s="87"/>
      <c r="I193" s="87"/>
      <c r="J193" s="87"/>
      <c r="K193" s="62"/>
    </row>
    <row r="194" spans="1:11" s="7" customFormat="1" ht="15">
      <c r="A194" s="91" t="s">
        <v>301</v>
      </c>
      <c r="B194" s="92" t="s">
        <v>148</v>
      </c>
      <c r="C194" s="70">
        <f t="shared" si="73"/>
        <v>3387.8</v>
      </c>
      <c r="D194" s="88"/>
      <c r="E194" s="88">
        <f>2000+512+875.8</f>
        <v>3387.8</v>
      </c>
      <c r="F194" s="87"/>
      <c r="G194" s="87"/>
      <c r="H194" s="87"/>
      <c r="I194" s="87"/>
      <c r="J194" s="87"/>
      <c r="K194" s="62"/>
    </row>
    <row r="195" spans="1:11" s="7" customFormat="1" ht="34.5" customHeight="1">
      <c r="A195" s="91" t="s">
        <v>302</v>
      </c>
      <c r="B195" s="92" t="s">
        <v>198</v>
      </c>
      <c r="C195" s="70">
        <f t="shared" si="73"/>
        <v>2353.40941</v>
      </c>
      <c r="D195" s="88"/>
      <c r="E195" s="88"/>
      <c r="F195" s="87">
        <f>800-453.73559</f>
        <v>346.26441</v>
      </c>
      <c r="G195" s="87">
        <v>2007.145</v>
      </c>
      <c r="H195" s="87"/>
      <c r="I195" s="87"/>
      <c r="J195" s="87"/>
      <c r="K195" s="62"/>
    </row>
    <row r="196" spans="1:11" s="7" customFormat="1" ht="15" customHeight="1">
      <c r="A196" s="91" t="s">
        <v>303</v>
      </c>
      <c r="B196" s="92" t="s">
        <v>174</v>
      </c>
      <c r="C196" s="70">
        <f t="shared" si="73"/>
        <v>1905</v>
      </c>
      <c r="D196" s="88"/>
      <c r="E196" s="88"/>
      <c r="F196" s="87"/>
      <c r="G196" s="87">
        <f>3000-1095</f>
        <v>1905</v>
      </c>
      <c r="H196" s="87"/>
      <c r="I196" s="87"/>
      <c r="J196" s="87"/>
      <c r="K196" s="62"/>
    </row>
    <row r="197" spans="1:11" s="7" customFormat="1" ht="15" customHeight="1">
      <c r="A197" s="91" t="s">
        <v>304</v>
      </c>
      <c r="B197" s="92" t="s">
        <v>17</v>
      </c>
      <c r="C197" s="70">
        <f t="shared" si="73"/>
        <v>650</v>
      </c>
      <c r="D197" s="88">
        <v>650</v>
      </c>
      <c r="E197" s="88"/>
      <c r="F197" s="87"/>
      <c r="G197" s="87"/>
      <c r="H197" s="87"/>
      <c r="I197" s="87"/>
      <c r="J197" s="87"/>
      <c r="K197" s="62"/>
    </row>
    <row r="198" spans="1:11" s="53" customFormat="1" ht="32.25" customHeight="1">
      <c r="A198" s="91" t="s">
        <v>305</v>
      </c>
      <c r="B198" s="101" t="s">
        <v>84</v>
      </c>
      <c r="C198" s="70">
        <f t="shared" si="73"/>
        <v>3714.1890000000003</v>
      </c>
      <c r="D198" s="88">
        <f aca="true" t="shared" si="76" ref="D198:J198">SUM(D199:D205)</f>
        <v>0</v>
      </c>
      <c r="E198" s="88">
        <f t="shared" si="76"/>
        <v>1055.2</v>
      </c>
      <c r="F198" s="87">
        <f t="shared" si="76"/>
        <v>1958.9969999999998</v>
      </c>
      <c r="G198" s="87">
        <f t="shared" si="76"/>
        <v>699.992</v>
      </c>
      <c r="H198" s="87">
        <f t="shared" si="76"/>
        <v>0</v>
      </c>
      <c r="I198" s="87">
        <f t="shared" si="76"/>
        <v>0</v>
      </c>
      <c r="J198" s="87">
        <f t="shared" si="76"/>
        <v>0</v>
      </c>
      <c r="K198" s="62"/>
    </row>
    <row r="199" spans="1:11" s="7" customFormat="1" ht="15" customHeight="1">
      <c r="A199" s="91" t="s">
        <v>306</v>
      </c>
      <c r="B199" s="101" t="s">
        <v>78</v>
      </c>
      <c r="C199" s="70">
        <f t="shared" si="73"/>
        <v>800</v>
      </c>
      <c r="D199" s="88"/>
      <c r="E199" s="88">
        <f>1000-200</f>
        <v>800</v>
      </c>
      <c r="F199" s="87"/>
      <c r="G199" s="87"/>
      <c r="H199" s="87"/>
      <c r="I199" s="87"/>
      <c r="J199" s="87"/>
      <c r="K199" s="62"/>
    </row>
    <row r="200" spans="1:11" s="7" customFormat="1" ht="15" customHeight="1">
      <c r="A200" s="91" t="s">
        <v>307</v>
      </c>
      <c r="B200" s="101" t="s">
        <v>79</v>
      </c>
      <c r="C200" s="70">
        <f t="shared" si="73"/>
        <v>374</v>
      </c>
      <c r="D200" s="88"/>
      <c r="E200" s="88"/>
      <c r="F200" s="87">
        <f>400-26</f>
        <v>374</v>
      </c>
      <c r="G200" s="87"/>
      <c r="H200" s="87"/>
      <c r="I200" s="87"/>
      <c r="J200" s="87"/>
      <c r="K200" s="62"/>
    </row>
    <row r="201" spans="1:11" s="7" customFormat="1" ht="15" customHeight="1">
      <c r="A201" s="91" t="s">
        <v>308</v>
      </c>
      <c r="B201" s="101" t="s">
        <v>454</v>
      </c>
      <c r="C201" s="70">
        <f t="shared" si="73"/>
        <v>299.992</v>
      </c>
      <c r="D201" s="88"/>
      <c r="E201" s="88"/>
      <c r="F201" s="87"/>
      <c r="G201" s="87">
        <f>299.992</f>
        <v>299.992</v>
      </c>
      <c r="H201" s="87"/>
      <c r="I201" s="87"/>
      <c r="J201" s="87"/>
      <c r="K201" s="62"/>
    </row>
    <row r="202" spans="1:11" s="7" customFormat="1" ht="15" customHeight="1">
      <c r="A202" s="91" t="s">
        <v>309</v>
      </c>
      <c r="B202" s="101" t="s">
        <v>28</v>
      </c>
      <c r="C202" s="70">
        <f t="shared" si="73"/>
        <v>785</v>
      </c>
      <c r="D202" s="88"/>
      <c r="E202" s="88"/>
      <c r="F202" s="87">
        <f>785</f>
        <v>785</v>
      </c>
      <c r="G202" s="87"/>
      <c r="H202" s="87"/>
      <c r="I202" s="87"/>
      <c r="J202" s="87"/>
      <c r="K202" s="62"/>
    </row>
    <row r="203" spans="1:11" s="7" customFormat="1" ht="15" customHeight="1">
      <c r="A203" s="91" t="s">
        <v>310</v>
      </c>
      <c r="B203" s="101" t="s">
        <v>80</v>
      </c>
      <c r="C203" s="70">
        <f t="shared" si="73"/>
        <v>400</v>
      </c>
      <c r="D203" s="88"/>
      <c r="E203" s="88"/>
      <c r="F203" s="87"/>
      <c r="G203" s="87">
        <v>400</v>
      </c>
      <c r="H203" s="87"/>
      <c r="I203" s="87"/>
      <c r="J203" s="87"/>
      <c r="K203" s="62"/>
    </row>
    <row r="204" spans="1:11" s="7" customFormat="1" ht="15" customHeight="1">
      <c r="A204" s="91" t="s">
        <v>311</v>
      </c>
      <c r="B204" s="101" t="s">
        <v>31</v>
      </c>
      <c r="C204" s="70">
        <f t="shared" si="73"/>
        <v>799.997</v>
      </c>
      <c r="D204" s="88"/>
      <c r="E204" s="88"/>
      <c r="F204" s="87">
        <f>800-0.003</f>
        <v>799.997</v>
      </c>
      <c r="G204" s="87"/>
      <c r="H204" s="87"/>
      <c r="I204" s="87"/>
      <c r="J204" s="87"/>
      <c r="K204" s="62"/>
    </row>
    <row r="205" spans="1:11" s="7" customFormat="1" ht="15" customHeight="1">
      <c r="A205" s="91" t="s">
        <v>312</v>
      </c>
      <c r="B205" s="101" t="s">
        <v>64</v>
      </c>
      <c r="C205" s="70">
        <f t="shared" si="73"/>
        <v>255.2</v>
      </c>
      <c r="D205" s="88"/>
      <c r="E205" s="88">
        <f>550-110-184.8</f>
        <v>255.2</v>
      </c>
      <c r="F205" s="87"/>
      <c r="G205" s="87"/>
      <c r="H205" s="87"/>
      <c r="I205" s="87"/>
      <c r="J205" s="87"/>
      <c r="K205" s="62"/>
    </row>
    <row r="206" spans="1:11" s="5" customFormat="1" ht="15" customHeight="1">
      <c r="A206" s="86"/>
      <c r="B206" s="62"/>
      <c r="C206" s="70"/>
      <c r="D206" s="88"/>
      <c r="E206" s="88"/>
      <c r="F206" s="87"/>
      <c r="G206" s="87"/>
      <c r="H206" s="87"/>
      <c r="I206" s="87"/>
      <c r="J206" s="87"/>
      <c r="K206" s="62"/>
    </row>
    <row r="207" spans="1:11" s="53" customFormat="1" ht="63" customHeight="1">
      <c r="A207" s="86" t="s">
        <v>313</v>
      </c>
      <c r="B207" s="103" t="s">
        <v>133</v>
      </c>
      <c r="C207" s="87">
        <f>SUM(C208:C210)</f>
        <v>2694.4</v>
      </c>
      <c r="D207" s="88">
        <f>SUM(D208:D209)</f>
        <v>0</v>
      </c>
      <c r="E207" s="88">
        <f>SUM(E208:E210)</f>
        <v>2694.4</v>
      </c>
      <c r="F207" s="87">
        <f>SUM(F208:F209)</f>
        <v>0</v>
      </c>
      <c r="G207" s="87">
        <f>SUM(G208:G209)</f>
        <v>0</v>
      </c>
      <c r="H207" s="87">
        <f>SUM(H208:H209)</f>
        <v>0</v>
      </c>
      <c r="I207" s="87">
        <f>SUM(I208:I209)</f>
        <v>0</v>
      </c>
      <c r="J207" s="87">
        <f>SUM(J208:J209)</f>
        <v>0</v>
      </c>
      <c r="K207" s="62" t="s">
        <v>451</v>
      </c>
    </row>
    <row r="208" spans="1:11" s="7" customFormat="1" ht="15" customHeight="1">
      <c r="A208" s="86" t="s">
        <v>314</v>
      </c>
      <c r="B208" s="92" t="s">
        <v>7</v>
      </c>
      <c r="C208" s="70">
        <f>SUM(D208:J208)</f>
        <v>700</v>
      </c>
      <c r="D208" s="88"/>
      <c r="E208" s="88">
        <v>700</v>
      </c>
      <c r="F208" s="87"/>
      <c r="G208" s="87"/>
      <c r="H208" s="87"/>
      <c r="I208" s="87"/>
      <c r="J208" s="87"/>
      <c r="K208" s="62"/>
    </row>
    <row r="209" spans="1:11" s="7" customFormat="1" ht="15" customHeight="1">
      <c r="A209" s="86" t="s">
        <v>315</v>
      </c>
      <c r="B209" s="92" t="s">
        <v>8</v>
      </c>
      <c r="C209" s="70">
        <f>SUM(D209:J209)</f>
        <v>1396</v>
      </c>
      <c r="D209" s="88"/>
      <c r="E209" s="88">
        <v>1396</v>
      </c>
      <c r="F209" s="87"/>
      <c r="G209" s="87"/>
      <c r="H209" s="87"/>
      <c r="I209" s="87"/>
      <c r="J209" s="87"/>
      <c r="K209" s="62"/>
    </row>
    <row r="210" spans="1:11" s="7" customFormat="1" ht="15" customHeight="1">
      <c r="A210" s="86" t="s">
        <v>316</v>
      </c>
      <c r="B210" s="98" t="s">
        <v>9</v>
      </c>
      <c r="C210" s="70">
        <f>SUM(D210:J210)</f>
        <v>598.4</v>
      </c>
      <c r="D210" s="88"/>
      <c r="E210" s="88">
        <v>598.4</v>
      </c>
      <c r="F210" s="87"/>
      <c r="G210" s="87"/>
      <c r="H210" s="87"/>
      <c r="I210" s="87"/>
      <c r="J210" s="87"/>
      <c r="K210" s="62"/>
    </row>
    <row r="211" spans="1:11" s="13" customFormat="1" ht="15" customHeight="1">
      <c r="A211" s="100"/>
      <c r="B211" s="98" t="s">
        <v>19</v>
      </c>
      <c r="C211" s="99"/>
      <c r="D211" s="96"/>
      <c r="E211" s="96"/>
      <c r="F211" s="97"/>
      <c r="G211" s="97"/>
      <c r="H211" s="97"/>
      <c r="I211" s="97"/>
      <c r="J211" s="97"/>
      <c r="K211" s="94"/>
    </row>
    <row r="212" spans="1:11" s="7" customFormat="1" ht="15" customHeight="1">
      <c r="A212" s="91" t="s">
        <v>317</v>
      </c>
      <c r="B212" s="92" t="s">
        <v>31</v>
      </c>
      <c r="C212" s="70">
        <f>SUM(D212:J212)</f>
        <v>1347.2</v>
      </c>
      <c r="D212" s="88"/>
      <c r="E212" s="88">
        <f>350+997.2</f>
        <v>1347.2</v>
      </c>
      <c r="F212" s="87"/>
      <c r="G212" s="87"/>
      <c r="H212" s="87"/>
      <c r="I212" s="87"/>
      <c r="J212" s="87"/>
      <c r="K212" s="62"/>
    </row>
    <row r="213" spans="1:11" s="7" customFormat="1" ht="15" customHeight="1">
      <c r="A213" s="91" t="s">
        <v>318</v>
      </c>
      <c r="B213" s="92" t="s">
        <v>65</v>
      </c>
      <c r="C213" s="70">
        <f>SUM(D213:J213)</f>
        <v>1347.2</v>
      </c>
      <c r="D213" s="88"/>
      <c r="E213" s="88">
        <f>350+997.2</f>
        <v>1347.2</v>
      </c>
      <c r="F213" s="87"/>
      <c r="G213" s="87"/>
      <c r="H213" s="87"/>
      <c r="I213" s="87"/>
      <c r="J213" s="87"/>
      <c r="K213" s="62"/>
    </row>
    <row r="214" spans="1:11" s="5" customFormat="1" ht="15" customHeight="1">
      <c r="A214" s="91"/>
      <c r="B214" s="92"/>
      <c r="C214" s="70"/>
      <c r="D214" s="88"/>
      <c r="E214" s="88"/>
      <c r="F214" s="87"/>
      <c r="G214" s="87"/>
      <c r="H214" s="87"/>
      <c r="I214" s="87"/>
      <c r="J214" s="87"/>
      <c r="K214" s="62"/>
    </row>
    <row r="215" spans="1:11" s="53" customFormat="1" ht="75.75" customHeight="1">
      <c r="A215" s="86" t="s">
        <v>319</v>
      </c>
      <c r="B215" s="103" t="s">
        <v>134</v>
      </c>
      <c r="C215" s="87">
        <f>SUM(C216)</f>
        <v>1379809.2</v>
      </c>
      <c r="D215" s="88">
        <f>SUM(D216)</f>
        <v>166082</v>
      </c>
      <c r="E215" s="88">
        <f aca="true" t="shared" si="77" ref="E215:J215">SUM(E216)</f>
        <v>175796</v>
      </c>
      <c r="F215" s="87">
        <f t="shared" si="77"/>
        <v>213294.2</v>
      </c>
      <c r="G215" s="87">
        <f t="shared" si="77"/>
        <v>212118</v>
      </c>
      <c r="H215" s="87">
        <f t="shared" si="77"/>
        <v>204173</v>
      </c>
      <c r="I215" s="87">
        <f t="shared" si="77"/>
        <v>204173</v>
      </c>
      <c r="J215" s="87">
        <f t="shared" si="77"/>
        <v>204173</v>
      </c>
      <c r="K215" s="62" t="s">
        <v>180</v>
      </c>
    </row>
    <row r="216" spans="1:11" s="7" customFormat="1" ht="15" customHeight="1">
      <c r="A216" s="91" t="s">
        <v>320</v>
      </c>
      <c r="B216" s="92" t="s">
        <v>9</v>
      </c>
      <c r="C216" s="70">
        <f>SUM(D216:J216)</f>
        <v>1379809.2</v>
      </c>
      <c r="D216" s="88">
        <f>176507-9304-1121</f>
        <v>166082</v>
      </c>
      <c r="E216" s="88">
        <f>189957-14161</f>
        <v>175796</v>
      </c>
      <c r="F216" s="87">
        <f>209687+1225.2+2382</f>
        <v>213294.2</v>
      </c>
      <c r="G216" s="87">
        <v>212118</v>
      </c>
      <c r="H216" s="87">
        <v>204173</v>
      </c>
      <c r="I216" s="87">
        <v>204173</v>
      </c>
      <c r="J216" s="87">
        <v>204173</v>
      </c>
      <c r="K216" s="62"/>
    </row>
    <row r="217" spans="1:11" s="5" customFormat="1" ht="15" customHeight="1">
      <c r="A217" s="91"/>
      <c r="B217" s="92"/>
      <c r="C217" s="70"/>
      <c r="D217" s="88"/>
      <c r="E217" s="88"/>
      <c r="F217" s="87"/>
      <c r="G217" s="87"/>
      <c r="H217" s="87"/>
      <c r="I217" s="87"/>
      <c r="J217" s="87"/>
      <c r="K217" s="62"/>
    </row>
    <row r="218" spans="1:11" s="53" customFormat="1" ht="79.5" customHeight="1">
      <c r="A218" s="91" t="s">
        <v>321</v>
      </c>
      <c r="B218" s="92" t="s">
        <v>139</v>
      </c>
      <c r="C218" s="87">
        <f>SUM(C219:C220)</f>
        <v>502107.90872</v>
      </c>
      <c r="D218" s="88">
        <f>SUM(D219:D220)</f>
        <v>94139.759</v>
      </c>
      <c r="E218" s="88">
        <f aca="true" t="shared" si="78" ref="E218:J218">SUM(E219:E220)</f>
        <v>92123.91500000001</v>
      </c>
      <c r="F218" s="87">
        <f t="shared" si="78"/>
        <v>57457.70059000001</v>
      </c>
      <c r="G218" s="87">
        <f t="shared" si="78"/>
        <v>61701.53413</v>
      </c>
      <c r="H218" s="87">
        <f t="shared" si="78"/>
        <v>64529.6</v>
      </c>
      <c r="I218" s="87">
        <f t="shared" si="78"/>
        <v>66077.7</v>
      </c>
      <c r="J218" s="87">
        <f t="shared" si="78"/>
        <v>66077.7</v>
      </c>
      <c r="K218" s="62" t="s">
        <v>181</v>
      </c>
    </row>
    <row r="219" spans="1:11" s="7" customFormat="1" ht="15" customHeight="1">
      <c r="A219" s="91" t="s">
        <v>322</v>
      </c>
      <c r="B219" s="98" t="s">
        <v>7</v>
      </c>
      <c r="C219" s="70">
        <f>SUM(D219:J219)</f>
        <v>492907.90872</v>
      </c>
      <c r="D219" s="88">
        <v>94139.759</v>
      </c>
      <c r="E219" s="88">
        <f>94122+200-996.9-482.3-0.1+0.012-718.798+0.001</f>
        <v>92123.91500000001</v>
      </c>
      <c r="F219" s="87">
        <f>48887+4500+5658.385-1600+100-172-0.001+84.31659</f>
        <v>57457.70059000001</v>
      </c>
      <c r="G219" s="87">
        <f>58800+124.359+477.17513</f>
        <v>59401.53413</v>
      </c>
      <c r="H219" s="87">
        <v>62229.6</v>
      </c>
      <c r="I219" s="87">
        <v>63777.7</v>
      </c>
      <c r="J219" s="87">
        <v>63777.7</v>
      </c>
      <c r="K219" s="62"/>
    </row>
    <row r="220" spans="1:11" s="7" customFormat="1" ht="15" customHeight="1">
      <c r="A220" s="91" t="s">
        <v>323</v>
      </c>
      <c r="B220" s="98" t="s">
        <v>10</v>
      </c>
      <c r="C220" s="70">
        <f>SUM(D220:J220)</f>
        <v>9200</v>
      </c>
      <c r="D220" s="88"/>
      <c r="E220" s="88"/>
      <c r="F220" s="87"/>
      <c r="G220" s="87">
        <v>2300</v>
      </c>
      <c r="H220" s="87">
        <v>2300</v>
      </c>
      <c r="I220" s="87">
        <v>2300</v>
      </c>
      <c r="J220" s="87">
        <v>2300</v>
      </c>
      <c r="K220" s="62"/>
    </row>
    <row r="221" spans="1:11" s="5" customFormat="1" ht="15" customHeight="1">
      <c r="A221" s="91"/>
      <c r="B221" s="98"/>
      <c r="C221" s="70"/>
      <c r="D221" s="95"/>
      <c r="E221" s="95"/>
      <c r="F221" s="70"/>
      <c r="G221" s="70"/>
      <c r="H221" s="70"/>
      <c r="I221" s="70"/>
      <c r="J221" s="70"/>
      <c r="K221" s="62"/>
    </row>
    <row r="222" spans="1:11" s="7" customFormat="1" ht="66.75" customHeight="1">
      <c r="A222" s="86" t="s">
        <v>324</v>
      </c>
      <c r="B222" s="92" t="s">
        <v>135</v>
      </c>
      <c r="C222" s="70">
        <f>SUM(C223+C227)</f>
        <v>263692.118</v>
      </c>
      <c r="D222" s="95">
        <f>SUM(D223+D227)</f>
        <v>66531.448</v>
      </c>
      <c r="E222" s="95">
        <f aca="true" t="shared" si="79" ref="E222:J222">SUM(E223+E227)</f>
        <v>30574.17</v>
      </c>
      <c r="F222" s="70">
        <f t="shared" si="79"/>
        <v>31925</v>
      </c>
      <c r="G222" s="70">
        <f t="shared" si="79"/>
        <v>32900</v>
      </c>
      <c r="H222" s="70">
        <f t="shared" si="79"/>
        <v>33979.8</v>
      </c>
      <c r="I222" s="70">
        <f t="shared" si="79"/>
        <v>34061.7</v>
      </c>
      <c r="J222" s="70">
        <f t="shared" si="79"/>
        <v>33720</v>
      </c>
      <c r="K222" s="62" t="s">
        <v>182</v>
      </c>
    </row>
    <row r="223" spans="1:11" s="7" customFormat="1" ht="15" customHeight="1">
      <c r="A223" s="86" t="s">
        <v>325</v>
      </c>
      <c r="B223" s="98" t="s">
        <v>7</v>
      </c>
      <c r="C223" s="70">
        <f>SUM(D223:J223)</f>
        <v>254194.718</v>
      </c>
      <c r="D223" s="88">
        <f>SUM(D225:D226)</f>
        <v>62334.048</v>
      </c>
      <c r="E223" s="88">
        <f aca="true" t="shared" si="80" ref="E223:J223">SUM(E225:E226)</f>
        <v>30574.17</v>
      </c>
      <c r="F223" s="87">
        <f>SUM(F225:F226)</f>
        <v>30225</v>
      </c>
      <c r="G223" s="87">
        <f>SUM(G225:G226)</f>
        <v>32000</v>
      </c>
      <c r="H223" s="87">
        <f t="shared" si="80"/>
        <v>33079.8</v>
      </c>
      <c r="I223" s="87">
        <f t="shared" si="80"/>
        <v>33161.7</v>
      </c>
      <c r="J223" s="87">
        <f t="shared" si="80"/>
        <v>32820</v>
      </c>
      <c r="K223" s="62"/>
    </row>
    <row r="224" spans="1:11" s="13" customFormat="1" ht="15" customHeight="1">
      <c r="A224" s="100"/>
      <c r="B224" s="98" t="s">
        <v>22</v>
      </c>
      <c r="C224" s="99"/>
      <c r="D224" s="96"/>
      <c r="E224" s="96"/>
      <c r="F224" s="97"/>
      <c r="G224" s="97"/>
      <c r="H224" s="97"/>
      <c r="I224" s="97"/>
      <c r="J224" s="97"/>
      <c r="K224" s="94"/>
    </row>
    <row r="225" spans="1:11" s="7" customFormat="1" ht="15">
      <c r="A225" s="91" t="s">
        <v>326</v>
      </c>
      <c r="B225" s="105" t="s">
        <v>21</v>
      </c>
      <c r="C225" s="70">
        <f>SUM(D225:J225)</f>
        <v>221171.07</v>
      </c>
      <c r="D225" s="88">
        <v>29310.4</v>
      </c>
      <c r="E225" s="88">
        <f>29445-213-39.43+300+1081.6</f>
        <v>30574.17</v>
      </c>
      <c r="F225" s="87">
        <f>28404+800+376+645</f>
        <v>30225</v>
      </c>
      <c r="G225" s="87">
        <f>31200+800</f>
        <v>32000</v>
      </c>
      <c r="H225" s="87">
        <f>32279.8+800</f>
        <v>33079.8</v>
      </c>
      <c r="I225" s="87">
        <f>32361.7+800</f>
        <v>33161.7</v>
      </c>
      <c r="J225" s="87">
        <f>32020+800</f>
        <v>32820</v>
      </c>
      <c r="K225" s="62"/>
    </row>
    <row r="226" spans="1:11" s="7" customFormat="1" ht="37.5" customHeight="1">
      <c r="A226" s="91" t="s">
        <v>327</v>
      </c>
      <c r="B226" s="106" t="s">
        <v>18</v>
      </c>
      <c r="C226" s="70">
        <f>SUM(D226:J226)</f>
        <v>33023.648</v>
      </c>
      <c r="D226" s="88">
        <v>33023.648</v>
      </c>
      <c r="E226" s="88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62"/>
    </row>
    <row r="227" spans="1:11" s="7" customFormat="1" ht="15" customHeight="1">
      <c r="A227" s="91" t="s">
        <v>328</v>
      </c>
      <c r="B227" s="92" t="s">
        <v>10</v>
      </c>
      <c r="C227" s="70">
        <f>SUM(D227:J227)</f>
        <v>9497.4</v>
      </c>
      <c r="D227" s="88">
        <v>4197.4</v>
      </c>
      <c r="E227" s="88">
        <v>0</v>
      </c>
      <c r="F227" s="87">
        <v>1700</v>
      </c>
      <c r="G227" s="87">
        <v>900</v>
      </c>
      <c r="H227" s="87">
        <v>900</v>
      </c>
      <c r="I227" s="87">
        <v>900</v>
      </c>
      <c r="J227" s="87">
        <v>900</v>
      </c>
      <c r="K227" s="62"/>
    </row>
    <row r="228" spans="1:11" s="5" customFormat="1" ht="15" customHeight="1">
      <c r="A228" s="91"/>
      <c r="B228" s="92"/>
      <c r="C228" s="70"/>
      <c r="D228" s="95"/>
      <c r="E228" s="95"/>
      <c r="F228" s="70"/>
      <c r="G228" s="70"/>
      <c r="H228" s="70"/>
      <c r="I228" s="70"/>
      <c r="J228" s="70"/>
      <c r="K228" s="62"/>
    </row>
    <row r="229" spans="1:11" s="7" customFormat="1" ht="69" customHeight="1">
      <c r="A229" s="86" t="s">
        <v>329</v>
      </c>
      <c r="B229" s="92" t="s">
        <v>136</v>
      </c>
      <c r="C229" s="70">
        <f>SUM(D229:J229)</f>
        <v>3124.8</v>
      </c>
      <c r="D229" s="95">
        <f>SUM(D230)</f>
        <v>3124.8</v>
      </c>
      <c r="E229" s="95">
        <f aca="true" t="shared" si="81" ref="E229:J229">SUM(E230)</f>
        <v>0</v>
      </c>
      <c r="F229" s="70">
        <f t="shared" si="81"/>
        <v>0</v>
      </c>
      <c r="G229" s="70">
        <f t="shared" si="81"/>
        <v>0</v>
      </c>
      <c r="H229" s="70">
        <f t="shared" si="81"/>
        <v>0</v>
      </c>
      <c r="I229" s="70">
        <f t="shared" si="81"/>
        <v>0</v>
      </c>
      <c r="J229" s="70">
        <f t="shared" si="81"/>
        <v>0</v>
      </c>
      <c r="K229" s="62" t="s">
        <v>157</v>
      </c>
    </row>
    <row r="230" spans="1:11" s="7" customFormat="1" ht="15" customHeight="1">
      <c r="A230" s="86" t="s">
        <v>330</v>
      </c>
      <c r="B230" s="98" t="s">
        <v>9</v>
      </c>
      <c r="C230" s="70">
        <f>SUM(D230:J230)</f>
        <v>3124.8</v>
      </c>
      <c r="D230" s="88">
        <f>SUM(D232)</f>
        <v>3124.8</v>
      </c>
      <c r="E230" s="88">
        <f aca="true" t="shared" si="82" ref="E230:J230">SUM(E232)</f>
        <v>0</v>
      </c>
      <c r="F230" s="87">
        <f t="shared" si="82"/>
        <v>0</v>
      </c>
      <c r="G230" s="87">
        <f t="shared" si="82"/>
        <v>0</v>
      </c>
      <c r="H230" s="87">
        <f t="shared" si="82"/>
        <v>0</v>
      </c>
      <c r="I230" s="87">
        <f t="shared" si="82"/>
        <v>0</v>
      </c>
      <c r="J230" s="87">
        <f t="shared" si="82"/>
        <v>0</v>
      </c>
      <c r="K230" s="62"/>
    </row>
    <row r="231" spans="1:11" s="13" customFormat="1" ht="15" customHeight="1">
      <c r="A231" s="100"/>
      <c r="B231" s="98" t="s">
        <v>22</v>
      </c>
      <c r="C231" s="99"/>
      <c r="D231" s="96"/>
      <c r="E231" s="96"/>
      <c r="F231" s="97"/>
      <c r="G231" s="97"/>
      <c r="H231" s="97"/>
      <c r="I231" s="97"/>
      <c r="J231" s="97"/>
      <c r="K231" s="94"/>
    </row>
    <row r="232" spans="1:11" s="7" customFormat="1" ht="33.75" customHeight="1">
      <c r="A232" s="91" t="s">
        <v>331</v>
      </c>
      <c r="B232" s="106" t="s">
        <v>18</v>
      </c>
      <c r="C232" s="70">
        <f>SUM(D232:J232)</f>
        <v>3124.8</v>
      </c>
      <c r="D232" s="88">
        <v>3124.8</v>
      </c>
      <c r="E232" s="88"/>
      <c r="F232" s="87"/>
      <c r="G232" s="87"/>
      <c r="H232" s="87"/>
      <c r="I232" s="87"/>
      <c r="J232" s="87"/>
      <c r="K232" s="62"/>
    </row>
    <row r="233" spans="1:11" s="7" customFormat="1" ht="15">
      <c r="A233" s="91"/>
      <c r="B233" s="106"/>
      <c r="C233" s="70"/>
      <c r="D233" s="88"/>
      <c r="E233" s="88"/>
      <c r="F233" s="87"/>
      <c r="G233" s="87"/>
      <c r="H233" s="87"/>
      <c r="I233" s="87"/>
      <c r="J233" s="87"/>
      <c r="K233" s="62"/>
    </row>
    <row r="234" spans="1:11" s="7" customFormat="1" ht="63.75" customHeight="1">
      <c r="A234" s="91" t="s">
        <v>332</v>
      </c>
      <c r="B234" s="92" t="s">
        <v>137</v>
      </c>
      <c r="C234" s="87">
        <f aca="true" t="shared" si="83" ref="C234:J234">SUM(C235)</f>
        <v>25528</v>
      </c>
      <c r="D234" s="88">
        <f t="shared" si="83"/>
        <v>25528</v>
      </c>
      <c r="E234" s="88">
        <f t="shared" si="83"/>
        <v>0</v>
      </c>
      <c r="F234" s="87">
        <f t="shared" si="83"/>
        <v>0</v>
      </c>
      <c r="G234" s="87">
        <f t="shared" si="83"/>
        <v>0</v>
      </c>
      <c r="H234" s="87">
        <f t="shared" si="83"/>
        <v>0</v>
      </c>
      <c r="I234" s="87">
        <f t="shared" si="83"/>
        <v>0</v>
      </c>
      <c r="J234" s="87">
        <f t="shared" si="83"/>
        <v>0</v>
      </c>
      <c r="K234" s="62" t="s">
        <v>163</v>
      </c>
    </row>
    <row r="235" spans="1:11" s="7" customFormat="1" ht="16.5" customHeight="1">
      <c r="A235" s="91" t="s">
        <v>333</v>
      </c>
      <c r="B235" s="92" t="s">
        <v>9</v>
      </c>
      <c r="C235" s="70">
        <f>SUM(D235:J235)</f>
        <v>25528</v>
      </c>
      <c r="D235" s="88">
        <f>27460-1932</f>
        <v>25528</v>
      </c>
      <c r="E235" s="88">
        <v>0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62"/>
    </row>
    <row r="236" spans="1:11" s="7" customFormat="1" ht="16.5" customHeight="1">
      <c r="A236" s="91"/>
      <c r="B236" s="92"/>
      <c r="C236" s="70"/>
      <c r="D236" s="88"/>
      <c r="E236" s="88"/>
      <c r="F236" s="87"/>
      <c r="G236" s="87"/>
      <c r="H236" s="87"/>
      <c r="I236" s="87"/>
      <c r="J236" s="87"/>
      <c r="K236" s="62"/>
    </row>
    <row r="237" spans="1:11" s="5" customFormat="1" ht="66.75" customHeight="1">
      <c r="A237" s="91" t="s">
        <v>334</v>
      </c>
      <c r="B237" s="92" t="s">
        <v>138</v>
      </c>
      <c r="C237" s="87">
        <f>SUM(D237:J237)</f>
        <v>4560.076000000001</v>
      </c>
      <c r="D237" s="88">
        <f>SUM(D238:D240)</f>
        <v>1155.675</v>
      </c>
      <c r="E237" s="88">
        <f aca="true" t="shared" si="84" ref="E237:J237">SUM(E238:E240)</f>
        <v>1708.2510000000002</v>
      </c>
      <c r="F237" s="87">
        <f t="shared" si="84"/>
        <v>0</v>
      </c>
      <c r="G237" s="87">
        <f t="shared" si="84"/>
        <v>1696.15</v>
      </c>
      <c r="H237" s="87">
        <f t="shared" si="84"/>
        <v>0</v>
      </c>
      <c r="I237" s="87">
        <f t="shared" si="84"/>
        <v>0</v>
      </c>
      <c r="J237" s="87">
        <f t="shared" si="84"/>
        <v>0</v>
      </c>
      <c r="K237" s="62" t="s">
        <v>158</v>
      </c>
    </row>
    <row r="238" spans="1:11" s="5" customFormat="1" ht="15" customHeight="1">
      <c r="A238" s="91" t="s">
        <v>335</v>
      </c>
      <c r="B238" s="92" t="s">
        <v>7</v>
      </c>
      <c r="C238" s="70">
        <f>SUM(D238:J238)</f>
        <v>450</v>
      </c>
      <c r="D238" s="88">
        <f>SUM(D242)</f>
        <v>0</v>
      </c>
      <c r="E238" s="88">
        <f aca="true" t="shared" si="85" ref="E238:J238">SUM(E242)</f>
        <v>150</v>
      </c>
      <c r="F238" s="87">
        <f t="shared" si="85"/>
        <v>0</v>
      </c>
      <c r="G238" s="87">
        <f t="shared" si="85"/>
        <v>300</v>
      </c>
      <c r="H238" s="87">
        <f t="shared" si="85"/>
        <v>0</v>
      </c>
      <c r="I238" s="87">
        <f t="shared" si="85"/>
        <v>0</v>
      </c>
      <c r="J238" s="87">
        <f t="shared" si="85"/>
        <v>0</v>
      </c>
      <c r="K238" s="62"/>
    </row>
    <row r="239" spans="1:11" s="5" customFormat="1" ht="15" customHeight="1">
      <c r="A239" s="91" t="s">
        <v>336</v>
      </c>
      <c r="B239" s="92" t="s">
        <v>9</v>
      </c>
      <c r="C239" s="70">
        <f aca="true" t="shared" si="86" ref="C239:C246">SUM(D239:J239)</f>
        <v>1908.9700000000003</v>
      </c>
      <c r="D239" s="88">
        <f>SUM(D243)</f>
        <v>0</v>
      </c>
      <c r="E239" s="88">
        <f aca="true" t="shared" si="87" ref="E239:J239">SUM(E243)</f>
        <v>512.82</v>
      </c>
      <c r="F239" s="87">
        <f t="shared" si="87"/>
        <v>0</v>
      </c>
      <c r="G239" s="87">
        <f t="shared" si="87"/>
        <v>1396.15</v>
      </c>
      <c r="H239" s="87">
        <f t="shared" si="87"/>
        <v>0</v>
      </c>
      <c r="I239" s="87">
        <f t="shared" si="87"/>
        <v>0</v>
      </c>
      <c r="J239" s="87">
        <f t="shared" si="87"/>
        <v>0</v>
      </c>
      <c r="K239" s="62"/>
    </row>
    <row r="240" spans="1:11" s="5" customFormat="1" ht="15" customHeight="1">
      <c r="A240" s="91" t="s">
        <v>337</v>
      </c>
      <c r="B240" s="92" t="s">
        <v>8</v>
      </c>
      <c r="C240" s="70">
        <f t="shared" si="86"/>
        <v>2201.1059999999998</v>
      </c>
      <c r="D240" s="88">
        <f aca="true" t="shared" si="88" ref="D240:J240">SUM(D244+D246)</f>
        <v>1155.675</v>
      </c>
      <c r="E240" s="88">
        <f t="shared" si="88"/>
        <v>1045.431</v>
      </c>
      <c r="F240" s="87">
        <f t="shared" si="88"/>
        <v>0</v>
      </c>
      <c r="G240" s="87">
        <f t="shared" si="88"/>
        <v>0</v>
      </c>
      <c r="H240" s="87">
        <f t="shared" si="88"/>
        <v>0</v>
      </c>
      <c r="I240" s="87">
        <f t="shared" si="88"/>
        <v>0</v>
      </c>
      <c r="J240" s="87">
        <f t="shared" si="88"/>
        <v>0</v>
      </c>
      <c r="K240" s="62"/>
    </row>
    <row r="241" spans="1:11" s="5" customFormat="1" ht="15" customHeight="1">
      <c r="A241" s="86"/>
      <c r="B241" s="101" t="s">
        <v>87</v>
      </c>
      <c r="C241" s="87"/>
      <c r="D241" s="88"/>
      <c r="E241" s="88"/>
      <c r="F241" s="87"/>
      <c r="G241" s="87"/>
      <c r="H241" s="87"/>
      <c r="I241" s="87"/>
      <c r="J241" s="87"/>
      <c r="K241" s="62"/>
    </row>
    <row r="242" spans="1:11" s="5" customFormat="1" ht="15" customHeight="1">
      <c r="A242" s="86" t="s">
        <v>338</v>
      </c>
      <c r="B242" s="92" t="s">
        <v>7</v>
      </c>
      <c r="C242" s="70">
        <f t="shared" si="86"/>
        <v>450</v>
      </c>
      <c r="D242" s="88"/>
      <c r="E242" s="88">
        <v>150</v>
      </c>
      <c r="F242" s="87"/>
      <c r="G242" s="87">
        <v>300</v>
      </c>
      <c r="H242" s="87"/>
      <c r="I242" s="87"/>
      <c r="J242" s="87"/>
      <c r="K242" s="62"/>
    </row>
    <row r="243" spans="1:11" s="5" customFormat="1" ht="15" customHeight="1">
      <c r="A243" s="86" t="s">
        <v>339</v>
      </c>
      <c r="B243" s="92" t="s">
        <v>9</v>
      </c>
      <c r="C243" s="70">
        <f t="shared" si="86"/>
        <v>1908.9700000000003</v>
      </c>
      <c r="D243" s="88"/>
      <c r="E243" s="88">
        <v>512.82</v>
      </c>
      <c r="F243" s="87"/>
      <c r="G243" s="87">
        <f>740.74+655.41</f>
        <v>1396.15</v>
      </c>
      <c r="H243" s="87"/>
      <c r="I243" s="87"/>
      <c r="J243" s="87"/>
      <c r="K243" s="62"/>
    </row>
    <row r="244" spans="1:11" s="5" customFormat="1" ht="15" customHeight="1">
      <c r="A244" s="86" t="s">
        <v>340</v>
      </c>
      <c r="B244" s="92" t="s">
        <v>8</v>
      </c>
      <c r="C244" s="70">
        <f t="shared" si="86"/>
        <v>1701.106</v>
      </c>
      <c r="D244" s="88">
        <v>1155.675</v>
      </c>
      <c r="E244" s="88">
        <v>545.431</v>
      </c>
      <c r="F244" s="87"/>
      <c r="G244" s="87"/>
      <c r="H244" s="87"/>
      <c r="I244" s="87"/>
      <c r="J244" s="87"/>
      <c r="K244" s="62"/>
    </row>
    <row r="245" spans="1:11" s="5" customFormat="1" ht="15" customHeight="1">
      <c r="A245" s="86"/>
      <c r="B245" s="101" t="s">
        <v>88</v>
      </c>
      <c r="C245" s="87"/>
      <c r="D245" s="88"/>
      <c r="E245" s="88"/>
      <c r="F245" s="87"/>
      <c r="G245" s="87"/>
      <c r="H245" s="87"/>
      <c r="I245" s="87"/>
      <c r="J245" s="87"/>
      <c r="K245" s="62"/>
    </row>
    <row r="246" spans="1:11" s="5" customFormat="1" ht="15" customHeight="1">
      <c r="A246" s="86" t="s">
        <v>341</v>
      </c>
      <c r="B246" s="92" t="s">
        <v>8</v>
      </c>
      <c r="C246" s="70">
        <f t="shared" si="86"/>
        <v>500</v>
      </c>
      <c r="D246" s="88"/>
      <c r="E246" s="88">
        <v>500</v>
      </c>
      <c r="F246" s="87"/>
      <c r="G246" s="87"/>
      <c r="H246" s="87"/>
      <c r="I246" s="87"/>
      <c r="J246" s="87"/>
      <c r="K246" s="62"/>
    </row>
    <row r="247" spans="1:11" s="5" customFormat="1" ht="15" customHeight="1">
      <c r="A247" s="86"/>
      <c r="B247" s="92"/>
      <c r="C247" s="70"/>
      <c r="D247" s="88"/>
      <c r="E247" s="88"/>
      <c r="F247" s="87"/>
      <c r="G247" s="87"/>
      <c r="H247" s="87"/>
      <c r="I247" s="87"/>
      <c r="J247" s="87"/>
      <c r="K247" s="62"/>
    </row>
    <row r="248" spans="1:11" s="5" customFormat="1" ht="66" customHeight="1">
      <c r="A248" s="91" t="s">
        <v>342</v>
      </c>
      <c r="B248" s="92" t="s">
        <v>152</v>
      </c>
      <c r="C248" s="87">
        <f>SUM(D248:J248)</f>
        <v>652.98966</v>
      </c>
      <c r="D248" s="88">
        <f>SUM(D249:D250)</f>
        <v>0</v>
      </c>
      <c r="E248" s="88">
        <f aca="true" t="shared" si="89" ref="E248:J248">SUM(E249:E250)</f>
        <v>0</v>
      </c>
      <c r="F248" s="87">
        <f t="shared" si="89"/>
        <v>652.98966</v>
      </c>
      <c r="G248" s="87">
        <f t="shared" si="89"/>
        <v>0</v>
      </c>
      <c r="H248" s="87">
        <f t="shared" si="89"/>
        <v>0</v>
      </c>
      <c r="I248" s="87">
        <f t="shared" si="89"/>
        <v>0</v>
      </c>
      <c r="J248" s="87">
        <f t="shared" si="89"/>
        <v>0</v>
      </c>
      <c r="K248" s="62" t="s">
        <v>158</v>
      </c>
    </row>
    <row r="249" spans="1:11" s="5" customFormat="1" ht="15" customHeight="1">
      <c r="A249" s="91" t="s">
        <v>343</v>
      </c>
      <c r="B249" s="92" t="s">
        <v>7</v>
      </c>
      <c r="C249" s="70">
        <f>SUM(D249:J249)</f>
        <v>652.98966</v>
      </c>
      <c r="D249" s="88"/>
      <c r="E249" s="88"/>
      <c r="F249" s="87">
        <f>186.98966+500-34</f>
        <v>652.98966</v>
      </c>
      <c r="G249" s="87"/>
      <c r="H249" s="87"/>
      <c r="I249" s="87"/>
      <c r="J249" s="87"/>
      <c r="K249" s="62"/>
    </row>
    <row r="250" spans="1:11" s="5" customFormat="1" ht="15" customHeight="1">
      <c r="A250" s="91" t="s">
        <v>344</v>
      </c>
      <c r="B250" s="92" t="s">
        <v>9</v>
      </c>
      <c r="C250" s="70">
        <f>SUM(D250:J250)</f>
        <v>0</v>
      </c>
      <c r="D250" s="88"/>
      <c r="E250" s="88"/>
      <c r="F250" s="87"/>
      <c r="G250" s="87"/>
      <c r="H250" s="87"/>
      <c r="I250" s="87"/>
      <c r="J250" s="87"/>
      <c r="K250" s="62"/>
    </row>
    <row r="251" spans="1:11" s="5" customFormat="1" ht="15" customHeight="1">
      <c r="A251" s="91"/>
      <c r="B251" s="92"/>
      <c r="C251" s="70"/>
      <c r="D251" s="88"/>
      <c r="E251" s="88"/>
      <c r="F251" s="87"/>
      <c r="G251" s="87"/>
      <c r="H251" s="87"/>
      <c r="I251" s="87"/>
      <c r="J251" s="87"/>
      <c r="K251" s="62"/>
    </row>
    <row r="252" spans="1:11" s="5" customFormat="1" ht="53.25" customHeight="1">
      <c r="A252" s="91" t="s">
        <v>345</v>
      </c>
      <c r="B252" s="92" t="s">
        <v>153</v>
      </c>
      <c r="C252" s="87">
        <f>SUM(D252:J252)</f>
        <v>21791.553</v>
      </c>
      <c r="D252" s="88">
        <f>SUM(D253:D255)</f>
        <v>0</v>
      </c>
      <c r="E252" s="88">
        <f aca="true" t="shared" si="90" ref="E252:J252">SUM(E253:E255)</f>
        <v>0</v>
      </c>
      <c r="F252" s="87">
        <f>SUM(F253:F255)</f>
        <v>21791.553</v>
      </c>
      <c r="G252" s="87">
        <f t="shared" si="90"/>
        <v>0</v>
      </c>
      <c r="H252" s="87">
        <f t="shared" si="90"/>
        <v>0</v>
      </c>
      <c r="I252" s="87">
        <f t="shared" si="90"/>
        <v>0</v>
      </c>
      <c r="J252" s="87">
        <f t="shared" si="90"/>
        <v>0</v>
      </c>
      <c r="K252" s="62" t="s">
        <v>158</v>
      </c>
    </row>
    <row r="253" spans="1:11" s="5" customFormat="1" ht="31.5" customHeight="1">
      <c r="A253" s="91" t="s">
        <v>346</v>
      </c>
      <c r="B253" s="92" t="s">
        <v>175</v>
      </c>
      <c r="C253" s="70">
        <f>SUM(D253:J253)</f>
        <v>400</v>
      </c>
      <c r="D253" s="88"/>
      <c r="E253" s="88"/>
      <c r="F253" s="87">
        <f>400</f>
        <v>400</v>
      </c>
      <c r="G253" s="87"/>
      <c r="H253" s="87"/>
      <c r="I253" s="87"/>
      <c r="J253" s="87"/>
      <c r="K253" s="62"/>
    </row>
    <row r="254" spans="1:11" s="5" customFormat="1" ht="15" customHeight="1">
      <c r="A254" s="91" t="s">
        <v>347</v>
      </c>
      <c r="B254" s="92" t="s">
        <v>7</v>
      </c>
      <c r="C254" s="70">
        <f>SUM(D254:J254)</f>
        <v>7572.653</v>
      </c>
      <c r="D254" s="88"/>
      <c r="E254" s="88"/>
      <c r="F254" s="87">
        <f>7572.653</f>
        <v>7572.653</v>
      </c>
      <c r="G254" s="87"/>
      <c r="H254" s="87"/>
      <c r="I254" s="87"/>
      <c r="J254" s="87"/>
      <c r="K254" s="62"/>
    </row>
    <row r="255" spans="1:11" s="5" customFormat="1" ht="15" customHeight="1">
      <c r="A255" s="91" t="s">
        <v>348</v>
      </c>
      <c r="B255" s="92" t="s">
        <v>9</v>
      </c>
      <c r="C255" s="70">
        <f>SUM(D255:J255)</f>
        <v>13818.9</v>
      </c>
      <c r="D255" s="88"/>
      <c r="E255" s="88"/>
      <c r="F255" s="87">
        <f>13818.9</f>
        <v>13818.9</v>
      </c>
      <c r="G255" s="87"/>
      <c r="H255" s="87"/>
      <c r="I255" s="87"/>
      <c r="J255" s="87"/>
      <c r="K255" s="62"/>
    </row>
    <row r="256" spans="1:11" s="5" customFormat="1" ht="15" customHeight="1">
      <c r="A256" s="91"/>
      <c r="B256" s="92" t="s">
        <v>19</v>
      </c>
      <c r="C256" s="70"/>
      <c r="D256" s="88"/>
      <c r="E256" s="88"/>
      <c r="F256" s="87"/>
      <c r="G256" s="87"/>
      <c r="H256" s="87"/>
      <c r="I256" s="87"/>
      <c r="J256" s="87"/>
      <c r="K256" s="62"/>
    </row>
    <row r="257" spans="1:11" s="5" customFormat="1" ht="15" customHeight="1">
      <c r="A257" s="91" t="s">
        <v>349</v>
      </c>
      <c r="B257" s="92" t="s">
        <v>28</v>
      </c>
      <c r="C257" s="70">
        <f>SUM(D257:J257)</f>
        <v>21791.553</v>
      </c>
      <c r="D257" s="88"/>
      <c r="E257" s="88"/>
      <c r="F257" s="87">
        <f>SUM(F253:F255)</f>
        <v>21791.553</v>
      </c>
      <c r="G257" s="87"/>
      <c r="H257" s="87"/>
      <c r="I257" s="87"/>
      <c r="J257" s="87"/>
      <c r="K257" s="62"/>
    </row>
    <row r="258" spans="1:11" s="5" customFormat="1" ht="15" customHeight="1">
      <c r="A258" s="91"/>
      <c r="B258" s="92"/>
      <c r="C258" s="70"/>
      <c r="D258" s="88"/>
      <c r="E258" s="88"/>
      <c r="F258" s="87"/>
      <c r="G258" s="87"/>
      <c r="H258" s="87"/>
      <c r="I258" s="87"/>
      <c r="J258" s="87"/>
      <c r="K258" s="62"/>
    </row>
    <row r="259" spans="1:11" s="7" customFormat="1" ht="83.25" customHeight="1">
      <c r="A259" s="91" t="s">
        <v>350</v>
      </c>
      <c r="B259" s="92" t="s">
        <v>154</v>
      </c>
      <c r="C259" s="87">
        <f>SUM(D259:J259)</f>
        <v>4709</v>
      </c>
      <c r="D259" s="88">
        <f>SUM(D260:D262)</f>
        <v>0</v>
      </c>
      <c r="E259" s="88">
        <f aca="true" t="shared" si="91" ref="E259:J259">SUM(E260:E262)</f>
        <v>0</v>
      </c>
      <c r="F259" s="87">
        <f>SUM(F260:F262)</f>
        <v>3334</v>
      </c>
      <c r="G259" s="87">
        <f t="shared" si="91"/>
        <v>1375</v>
      </c>
      <c r="H259" s="87">
        <f t="shared" si="91"/>
        <v>0</v>
      </c>
      <c r="I259" s="87">
        <f t="shared" si="91"/>
        <v>0</v>
      </c>
      <c r="J259" s="87">
        <f t="shared" si="91"/>
        <v>0</v>
      </c>
      <c r="K259" s="62" t="s">
        <v>159</v>
      </c>
    </row>
    <row r="260" spans="1:11" s="7" customFormat="1" ht="15" customHeight="1">
      <c r="A260" s="91" t="s">
        <v>351</v>
      </c>
      <c r="B260" s="92" t="s">
        <v>188</v>
      </c>
      <c r="C260" s="70">
        <f>SUM(D260:J260)</f>
        <v>34</v>
      </c>
      <c r="D260" s="88"/>
      <c r="E260" s="88"/>
      <c r="F260" s="87">
        <v>34</v>
      </c>
      <c r="G260" s="87"/>
      <c r="H260" s="87"/>
      <c r="I260" s="87"/>
      <c r="J260" s="87"/>
      <c r="K260" s="62"/>
    </row>
    <row r="261" spans="1:11" s="7" customFormat="1" ht="15" customHeight="1">
      <c r="A261" s="91" t="s">
        <v>352</v>
      </c>
      <c r="B261" s="92" t="s">
        <v>7</v>
      </c>
      <c r="C261" s="70">
        <f>SUM(D261:J261)</f>
        <v>3175</v>
      </c>
      <c r="D261" s="88"/>
      <c r="E261" s="88"/>
      <c r="F261" s="87">
        <f>1800</f>
        <v>1800</v>
      </c>
      <c r="G261" s="87">
        <v>1375</v>
      </c>
      <c r="H261" s="87"/>
      <c r="I261" s="87"/>
      <c r="J261" s="87"/>
      <c r="K261" s="62"/>
    </row>
    <row r="262" spans="1:11" s="7" customFormat="1" ht="15" customHeight="1">
      <c r="A262" s="91" t="s">
        <v>353</v>
      </c>
      <c r="B262" s="92" t="s">
        <v>9</v>
      </c>
      <c r="C262" s="70">
        <f>SUM(D262:J262)</f>
        <v>1500</v>
      </c>
      <c r="D262" s="88"/>
      <c r="E262" s="88"/>
      <c r="F262" s="87">
        <f>1500</f>
        <v>1500</v>
      </c>
      <c r="G262" s="87"/>
      <c r="H262" s="87"/>
      <c r="I262" s="87"/>
      <c r="J262" s="87"/>
      <c r="K262" s="62"/>
    </row>
    <row r="263" spans="1:11" s="7" customFormat="1" ht="15" customHeight="1">
      <c r="A263" s="91"/>
      <c r="B263" s="92" t="s">
        <v>19</v>
      </c>
      <c r="C263" s="70"/>
      <c r="D263" s="88"/>
      <c r="E263" s="88"/>
      <c r="F263" s="87"/>
      <c r="G263" s="87"/>
      <c r="H263" s="87"/>
      <c r="I263" s="87"/>
      <c r="J263" s="87"/>
      <c r="K263" s="62"/>
    </row>
    <row r="264" spans="1:11" s="7" customFormat="1" ht="15" customHeight="1">
      <c r="A264" s="91" t="s">
        <v>354</v>
      </c>
      <c r="B264" s="92" t="s">
        <v>65</v>
      </c>
      <c r="C264" s="70">
        <f>SUM(D264:J264)</f>
        <v>3334</v>
      </c>
      <c r="D264" s="88"/>
      <c r="E264" s="88"/>
      <c r="F264" s="87">
        <f>SUM(F260:F262)</f>
        <v>3334</v>
      </c>
      <c r="G264" s="87"/>
      <c r="H264" s="87"/>
      <c r="I264" s="87"/>
      <c r="J264" s="87"/>
      <c r="K264" s="62"/>
    </row>
    <row r="265" spans="1:11" s="7" customFormat="1" ht="15" customHeight="1">
      <c r="A265" s="91" t="s">
        <v>355</v>
      </c>
      <c r="B265" s="92" t="s">
        <v>64</v>
      </c>
      <c r="C265" s="70">
        <f>SUM(D265:J265)</f>
        <v>1375</v>
      </c>
      <c r="D265" s="88"/>
      <c r="E265" s="88"/>
      <c r="F265" s="87"/>
      <c r="G265" s="87">
        <f>SUM(G260:G262)</f>
        <v>1375</v>
      </c>
      <c r="H265" s="87"/>
      <c r="I265" s="87"/>
      <c r="J265" s="87"/>
      <c r="K265" s="62"/>
    </row>
    <row r="266" spans="1:11" s="5" customFormat="1" ht="15" customHeight="1">
      <c r="A266" s="91"/>
      <c r="B266" s="92"/>
      <c r="C266" s="70"/>
      <c r="D266" s="88"/>
      <c r="E266" s="88"/>
      <c r="F266" s="87"/>
      <c r="G266" s="87"/>
      <c r="H266" s="87"/>
      <c r="I266" s="87"/>
      <c r="J266" s="87"/>
      <c r="K266" s="62"/>
    </row>
    <row r="267" spans="1:11" s="5" customFormat="1" ht="96.75" customHeight="1">
      <c r="A267" s="91" t="s">
        <v>356</v>
      </c>
      <c r="B267" s="92" t="s">
        <v>160</v>
      </c>
      <c r="C267" s="87">
        <f>SUM(D267:J267)</f>
        <v>3996.2999999999997</v>
      </c>
      <c r="D267" s="88">
        <f>SUM(D268:D270)</f>
        <v>0</v>
      </c>
      <c r="E267" s="88">
        <f aca="true" t="shared" si="92" ref="E267:J267">SUM(E268:E270)</f>
        <v>0</v>
      </c>
      <c r="F267" s="87">
        <f>SUM(F268:F270)</f>
        <v>3996.2999999999997</v>
      </c>
      <c r="G267" s="87">
        <f t="shared" si="92"/>
        <v>0</v>
      </c>
      <c r="H267" s="87">
        <f t="shared" si="92"/>
        <v>0</v>
      </c>
      <c r="I267" s="87">
        <f t="shared" si="92"/>
        <v>0</v>
      </c>
      <c r="J267" s="87">
        <f t="shared" si="92"/>
        <v>0</v>
      </c>
      <c r="K267" s="62" t="s">
        <v>162</v>
      </c>
    </row>
    <row r="268" spans="1:11" s="5" customFormat="1" ht="15" customHeight="1">
      <c r="A268" s="91" t="s">
        <v>357</v>
      </c>
      <c r="B268" s="92" t="s">
        <v>7</v>
      </c>
      <c r="C268" s="70">
        <f>SUM(D268:J268)</f>
        <v>84.6</v>
      </c>
      <c r="D268" s="88"/>
      <c r="E268" s="88"/>
      <c r="F268" s="87">
        <f>84.6</f>
        <v>84.6</v>
      </c>
      <c r="G268" s="87"/>
      <c r="H268" s="87"/>
      <c r="I268" s="87"/>
      <c r="J268" s="87"/>
      <c r="K268" s="62"/>
    </row>
    <row r="269" spans="1:11" s="5" customFormat="1" ht="15" customHeight="1">
      <c r="A269" s="91" t="s">
        <v>358</v>
      </c>
      <c r="B269" s="92" t="s">
        <v>9</v>
      </c>
      <c r="C269" s="70">
        <f>SUM(D269:J269)</f>
        <v>0</v>
      </c>
      <c r="D269" s="88"/>
      <c r="E269" s="88"/>
      <c r="F269" s="87"/>
      <c r="G269" s="87"/>
      <c r="H269" s="87"/>
      <c r="I269" s="87"/>
      <c r="J269" s="87"/>
      <c r="K269" s="62"/>
    </row>
    <row r="270" spans="1:11" s="5" customFormat="1" ht="15" customHeight="1">
      <c r="A270" s="91" t="s">
        <v>359</v>
      </c>
      <c r="B270" s="92" t="s">
        <v>8</v>
      </c>
      <c r="C270" s="70">
        <f>SUM(D270:J270)</f>
        <v>3911.7</v>
      </c>
      <c r="D270" s="88"/>
      <c r="E270" s="88"/>
      <c r="F270" s="87">
        <v>3911.7</v>
      </c>
      <c r="G270" s="87"/>
      <c r="H270" s="87"/>
      <c r="I270" s="87"/>
      <c r="J270" s="87"/>
      <c r="K270" s="62"/>
    </row>
    <row r="271" spans="1:11" s="5" customFormat="1" ht="15" customHeight="1">
      <c r="A271" s="91"/>
      <c r="B271" s="92" t="s">
        <v>19</v>
      </c>
      <c r="C271" s="70"/>
      <c r="D271" s="88"/>
      <c r="E271" s="88"/>
      <c r="F271" s="87"/>
      <c r="G271" s="87"/>
      <c r="H271" s="87"/>
      <c r="I271" s="87"/>
      <c r="J271" s="87"/>
      <c r="K271" s="62"/>
    </row>
    <row r="272" spans="1:11" s="5" customFormat="1" ht="15" customHeight="1">
      <c r="A272" s="91" t="s">
        <v>360</v>
      </c>
      <c r="B272" s="92" t="s">
        <v>64</v>
      </c>
      <c r="C272" s="70">
        <f>SUM(D272:J272)</f>
        <v>3996.2999999999997</v>
      </c>
      <c r="D272" s="88"/>
      <c r="E272" s="88"/>
      <c r="F272" s="87">
        <f>SUM(F268:F270)</f>
        <v>3996.2999999999997</v>
      </c>
      <c r="G272" s="87"/>
      <c r="H272" s="87"/>
      <c r="I272" s="87"/>
      <c r="J272" s="87"/>
      <c r="K272" s="62"/>
    </row>
    <row r="273" spans="1:11" s="5" customFormat="1" ht="15" customHeight="1">
      <c r="A273" s="91"/>
      <c r="B273" s="107"/>
      <c r="C273" s="108"/>
      <c r="D273" s="108"/>
      <c r="E273" s="108"/>
      <c r="F273" s="109"/>
      <c r="G273" s="108"/>
      <c r="H273" s="108"/>
      <c r="I273" s="108"/>
      <c r="J273" s="108"/>
      <c r="K273" s="110"/>
    </row>
    <row r="274" spans="1:11" s="4" customFormat="1" ht="15" customHeight="1">
      <c r="A274" s="63"/>
      <c r="B274" s="64" t="s">
        <v>1</v>
      </c>
      <c r="C274" s="65"/>
      <c r="D274" s="65"/>
      <c r="E274" s="65"/>
      <c r="F274" s="65"/>
      <c r="G274" s="65"/>
      <c r="H274" s="65"/>
      <c r="I274" s="65"/>
      <c r="J274" s="65"/>
      <c r="K274" s="66"/>
    </row>
    <row r="275" spans="1:11" s="5" customFormat="1" ht="15">
      <c r="A275" s="91" t="s">
        <v>361</v>
      </c>
      <c r="B275" s="92" t="s">
        <v>36</v>
      </c>
      <c r="C275" s="70">
        <f>SUM(C276:C277)</f>
        <v>94369.284</v>
      </c>
      <c r="D275" s="88">
        <f>SUM(D276:D277)</f>
        <v>3619.284</v>
      </c>
      <c r="E275" s="88">
        <f aca="true" t="shared" si="93" ref="E275:J275">SUM(E276:E277)</f>
        <v>7500</v>
      </c>
      <c r="F275" s="87">
        <f t="shared" si="93"/>
        <v>10000</v>
      </c>
      <c r="G275" s="87">
        <f t="shared" si="93"/>
        <v>10050</v>
      </c>
      <c r="H275" s="87">
        <f t="shared" si="93"/>
        <v>15300</v>
      </c>
      <c r="I275" s="87">
        <f t="shared" si="93"/>
        <v>15200</v>
      </c>
      <c r="J275" s="87">
        <f t="shared" si="93"/>
        <v>32700</v>
      </c>
      <c r="K275" s="89"/>
    </row>
    <row r="276" spans="1:11" s="5" customFormat="1" ht="15" customHeight="1">
      <c r="A276" s="91" t="s">
        <v>362</v>
      </c>
      <c r="B276" s="92" t="s">
        <v>7</v>
      </c>
      <c r="C276" s="70">
        <f>SUM(D276:J276)</f>
        <v>94369.284</v>
      </c>
      <c r="D276" s="88">
        <f aca="true" t="shared" si="94" ref="D276:J276">SUM(D281+D295)</f>
        <v>3619.284</v>
      </c>
      <c r="E276" s="88">
        <f t="shared" si="94"/>
        <v>7500</v>
      </c>
      <c r="F276" s="87">
        <f t="shared" si="94"/>
        <v>10000</v>
      </c>
      <c r="G276" s="87">
        <f t="shared" si="94"/>
        <v>10050</v>
      </c>
      <c r="H276" s="87">
        <f t="shared" si="94"/>
        <v>15300</v>
      </c>
      <c r="I276" s="87">
        <f t="shared" si="94"/>
        <v>15200</v>
      </c>
      <c r="J276" s="87">
        <f t="shared" si="94"/>
        <v>32700</v>
      </c>
      <c r="K276" s="62"/>
    </row>
    <row r="277" spans="1:11" s="5" customFormat="1" ht="15" customHeight="1">
      <c r="A277" s="91" t="s">
        <v>363</v>
      </c>
      <c r="B277" s="92" t="s">
        <v>9</v>
      </c>
      <c r="C277" s="70">
        <f>SUM(D277:J277)</f>
        <v>0</v>
      </c>
      <c r="D277" s="88">
        <f>SUM(D282)</f>
        <v>0</v>
      </c>
      <c r="E277" s="88">
        <f aca="true" t="shared" si="95" ref="E277:J277">SUM(E282)</f>
        <v>0</v>
      </c>
      <c r="F277" s="87">
        <f t="shared" si="95"/>
        <v>0</v>
      </c>
      <c r="G277" s="87">
        <f t="shared" si="95"/>
        <v>0</v>
      </c>
      <c r="H277" s="87">
        <f t="shared" si="95"/>
        <v>0</v>
      </c>
      <c r="I277" s="87">
        <f t="shared" si="95"/>
        <v>0</v>
      </c>
      <c r="J277" s="87">
        <f t="shared" si="95"/>
        <v>0</v>
      </c>
      <c r="K277" s="62"/>
    </row>
    <row r="278" spans="1:11" s="5" customFormat="1" ht="15" customHeight="1">
      <c r="A278" s="86"/>
      <c r="B278" s="62"/>
      <c r="C278" s="67"/>
      <c r="D278" s="68"/>
      <c r="E278" s="68"/>
      <c r="F278" s="67"/>
      <c r="G278" s="67"/>
      <c r="H278" s="67"/>
      <c r="I278" s="67"/>
      <c r="J278" s="67"/>
      <c r="K278" s="62"/>
    </row>
    <row r="279" spans="1:11" s="5" customFormat="1" ht="15" customHeight="1">
      <c r="A279" s="63"/>
      <c r="B279" s="64" t="s">
        <v>11</v>
      </c>
      <c r="C279" s="65"/>
      <c r="D279" s="65"/>
      <c r="E279" s="65"/>
      <c r="F279" s="65"/>
      <c r="G279" s="65"/>
      <c r="H279" s="65"/>
      <c r="I279" s="65"/>
      <c r="J279" s="65"/>
      <c r="K279" s="66"/>
    </row>
    <row r="280" spans="1:11" s="5" customFormat="1" ht="24" customHeight="1">
      <c r="A280" s="91" t="s">
        <v>364</v>
      </c>
      <c r="B280" s="92" t="s">
        <v>32</v>
      </c>
      <c r="C280" s="70">
        <f aca="true" t="shared" si="96" ref="C280:J280">SUM(C281:C282)</f>
        <v>93606.732</v>
      </c>
      <c r="D280" s="88">
        <f t="shared" si="96"/>
        <v>3606.732</v>
      </c>
      <c r="E280" s="88">
        <f t="shared" si="96"/>
        <v>7500</v>
      </c>
      <c r="F280" s="87">
        <f t="shared" si="96"/>
        <v>10000</v>
      </c>
      <c r="G280" s="87">
        <f t="shared" si="96"/>
        <v>10000</v>
      </c>
      <c r="H280" s="87">
        <f t="shared" si="96"/>
        <v>15000</v>
      </c>
      <c r="I280" s="87">
        <f t="shared" si="96"/>
        <v>15000</v>
      </c>
      <c r="J280" s="87">
        <f t="shared" si="96"/>
        <v>32500</v>
      </c>
      <c r="K280" s="62"/>
    </row>
    <row r="281" spans="1:11" s="5" customFormat="1" ht="15" customHeight="1">
      <c r="A281" s="91" t="s">
        <v>365</v>
      </c>
      <c r="B281" s="92" t="s">
        <v>7</v>
      </c>
      <c r="C281" s="70">
        <f>SUM(D281:J281)</f>
        <v>93606.732</v>
      </c>
      <c r="D281" s="88">
        <f>SUM(D286)</f>
        <v>3606.732</v>
      </c>
      <c r="E281" s="88">
        <f aca="true" t="shared" si="97" ref="E281:J281">SUM(E286)</f>
        <v>7500</v>
      </c>
      <c r="F281" s="87">
        <f t="shared" si="97"/>
        <v>10000</v>
      </c>
      <c r="G281" s="87">
        <f t="shared" si="97"/>
        <v>10000</v>
      </c>
      <c r="H281" s="87">
        <f t="shared" si="97"/>
        <v>15000</v>
      </c>
      <c r="I281" s="87">
        <f t="shared" si="97"/>
        <v>15000</v>
      </c>
      <c r="J281" s="87">
        <f t="shared" si="97"/>
        <v>32500</v>
      </c>
      <c r="K281" s="62"/>
    </row>
    <row r="282" spans="1:11" s="5" customFormat="1" ht="15" customHeight="1">
      <c r="A282" s="91" t="s">
        <v>366</v>
      </c>
      <c r="B282" s="92" t="s">
        <v>9</v>
      </c>
      <c r="C282" s="70">
        <f>SUM(D282:J282)</f>
        <v>0</v>
      </c>
      <c r="D282" s="88">
        <f>SUM(D287)</f>
        <v>0</v>
      </c>
      <c r="E282" s="88">
        <f aca="true" t="shared" si="98" ref="E282:J282">SUM(E287)</f>
        <v>0</v>
      </c>
      <c r="F282" s="87">
        <f t="shared" si="98"/>
        <v>0</v>
      </c>
      <c r="G282" s="87">
        <f t="shared" si="98"/>
        <v>0</v>
      </c>
      <c r="H282" s="87">
        <f t="shared" si="98"/>
        <v>0</v>
      </c>
      <c r="I282" s="87">
        <f t="shared" si="98"/>
        <v>0</v>
      </c>
      <c r="J282" s="87">
        <f t="shared" si="98"/>
        <v>0</v>
      </c>
      <c r="K282" s="62"/>
    </row>
    <row r="283" spans="1:11" s="5" customFormat="1" ht="15" customHeight="1">
      <c r="A283" s="86"/>
      <c r="B283" s="69"/>
      <c r="C283" s="87"/>
      <c r="D283" s="88"/>
      <c r="E283" s="88"/>
      <c r="F283" s="87"/>
      <c r="G283" s="87"/>
      <c r="H283" s="87"/>
      <c r="I283" s="87"/>
      <c r="J283" s="87"/>
      <c r="K283" s="62"/>
    </row>
    <row r="284" spans="1:11" s="5" customFormat="1" ht="15" customHeight="1">
      <c r="A284" s="63"/>
      <c r="B284" s="64" t="s">
        <v>23</v>
      </c>
      <c r="C284" s="65"/>
      <c r="D284" s="65"/>
      <c r="E284" s="65"/>
      <c r="F284" s="65"/>
      <c r="G284" s="65"/>
      <c r="H284" s="65"/>
      <c r="I284" s="65"/>
      <c r="J284" s="65"/>
      <c r="K284" s="66"/>
    </row>
    <row r="285" spans="1:11" s="16" customFormat="1" ht="30">
      <c r="A285" s="91" t="s">
        <v>367</v>
      </c>
      <c r="B285" s="92" t="s">
        <v>464</v>
      </c>
      <c r="C285" s="70">
        <f>SUM(D285:J285)</f>
        <v>93606.732</v>
      </c>
      <c r="D285" s="88">
        <f>SUM(D286:D287)</f>
        <v>3606.732</v>
      </c>
      <c r="E285" s="88">
        <f aca="true" t="shared" si="99" ref="E285:J285">SUM(E286:E287)</f>
        <v>7500</v>
      </c>
      <c r="F285" s="87">
        <f t="shared" si="99"/>
        <v>10000</v>
      </c>
      <c r="G285" s="87">
        <f t="shared" si="99"/>
        <v>10000</v>
      </c>
      <c r="H285" s="87">
        <f t="shared" si="99"/>
        <v>15000</v>
      </c>
      <c r="I285" s="87">
        <f t="shared" si="99"/>
        <v>15000</v>
      </c>
      <c r="J285" s="87">
        <f t="shared" si="99"/>
        <v>32500</v>
      </c>
      <c r="K285" s="94"/>
    </row>
    <row r="286" spans="1:11" s="7" customFormat="1" ht="15" customHeight="1">
      <c r="A286" s="91" t="s">
        <v>368</v>
      </c>
      <c r="B286" s="92" t="s">
        <v>7</v>
      </c>
      <c r="C286" s="70">
        <f>SUM(D286:J286)</f>
        <v>93606.732</v>
      </c>
      <c r="D286" s="88">
        <f>D290</f>
        <v>3606.732</v>
      </c>
      <c r="E286" s="88">
        <f aca="true" t="shared" si="100" ref="E286:J286">E290</f>
        <v>7500</v>
      </c>
      <c r="F286" s="87">
        <f>F290</f>
        <v>10000</v>
      </c>
      <c r="G286" s="87">
        <f t="shared" si="100"/>
        <v>10000</v>
      </c>
      <c r="H286" s="87">
        <f t="shared" si="100"/>
        <v>15000</v>
      </c>
      <c r="I286" s="87">
        <f t="shared" si="100"/>
        <v>15000</v>
      </c>
      <c r="J286" s="87">
        <f t="shared" si="100"/>
        <v>32500</v>
      </c>
      <c r="K286" s="62"/>
    </row>
    <row r="287" spans="1:11" s="5" customFormat="1" ht="15" customHeight="1">
      <c r="A287" s="91" t="s">
        <v>369</v>
      </c>
      <c r="B287" s="92" t="s">
        <v>9</v>
      </c>
      <c r="C287" s="70">
        <f>SUM(D287:J287)</f>
        <v>0</v>
      </c>
      <c r="D287" s="88">
        <f>D291</f>
        <v>0</v>
      </c>
      <c r="E287" s="88">
        <f aca="true" t="shared" si="101" ref="E287:J287">E291</f>
        <v>0</v>
      </c>
      <c r="F287" s="87">
        <f t="shared" si="101"/>
        <v>0</v>
      </c>
      <c r="G287" s="87">
        <f t="shared" si="101"/>
        <v>0</v>
      </c>
      <c r="H287" s="87">
        <f t="shared" si="101"/>
        <v>0</v>
      </c>
      <c r="I287" s="87">
        <f t="shared" si="101"/>
        <v>0</v>
      </c>
      <c r="J287" s="87">
        <f t="shared" si="101"/>
        <v>0</v>
      </c>
      <c r="K287" s="62"/>
    </row>
    <row r="288" spans="1:11" s="5" customFormat="1" ht="15" customHeight="1">
      <c r="A288" s="91"/>
      <c r="B288" s="101"/>
      <c r="C288" s="70"/>
      <c r="D288" s="88"/>
      <c r="E288" s="88"/>
      <c r="F288" s="87"/>
      <c r="G288" s="87"/>
      <c r="H288" s="87"/>
      <c r="I288" s="87"/>
      <c r="J288" s="87"/>
      <c r="K288" s="62"/>
    </row>
    <row r="289" spans="1:11" s="7" customFormat="1" ht="63" customHeight="1">
      <c r="A289" s="91" t="s">
        <v>370</v>
      </c>
      <c r="B289" s="92" t="s">
        <v>112</v>
      </c>
      <c r="C289" s="70">
        <f>SUM(D289:J289)</f>
        <v>93606.732</v>
      </c>
      <c r="D289" s="88">
        <f>SUM(D290:D291)</f>
        <v>3606.732</v>
      </c>
      <c r="E289" s="88">
        <f aca="true" t="shared" si="102" ref="E289:J289">SUM(E290:E291)</f>
        <v>7500</v>
      </c>
      <c r="F289" s="87">
        <f t="shared" si="102"/>
        <v>10000</v>
      </c>
      <c r="G289" s="87">
        <f t="shared" si="102"/>
        <v>10000</v>
      </c>
      <c r="H289" s="87">
        <f t="shared" si="102"/>
        <v>15000</v>
      </c>
      <c r="I289" s="87">
        <f t="shared" si="102"/>
        <v>15000</v>
      </c>
      <c r="J289" s="87">
        <f t="shared" si="102"/>
        <v>32500</v>
      </c>
      <c r="K289" s="62" t="s">
        <v>165</v>
      </c>
    </row>
    <row r="290" spans="1:11" s="7" customFormat="1" ht="15" customHeight="1">
      <c r="A290" s="91" t="s">
        <v>371</v>
      </c>
      <c r="B290" s="92" t="s">
        <v>7</v>
      </c>
      <c r="C290" s="70">
        <f>SUM(D290:J290)</f>
        <v>93606.732</v>
      </c>
      <c r="D290" s="88">
        <v>3606.732</v>
      </c>
      <c r="E290" s="88">
        <f>15000-3000-5000+500</f>
        <v>7500</v>
      </c>
      <c r="F290" s="87">
        <f>15000-5000</f>
        <v>10000</v>
      </c>
      <c r="G290" s="87">
        <v>10000</v>
      </c>
      <c r="H290" s="87">
        <v>15000</v>
      </c>
      <c r="I290" s="87">
        <v>15000</v>
      </c>
      <c r="J290" s="87">
        <v>32500</v>
      </c>
      <c r="K290" s="62"/>
    </row>
    <row r="291" spans="1:11" s="7" customFormat="1" ht="15" customHeight="1">
      <c r="A291" s="91" t="s">
        <v>372</v>
      </c>
      <c r="B291" s="92" t="s">
        <v>9</v>
      </c>
      <c r="C291" s="70">
        <f>SUM(D291:J291)</f>
        <v>0</v>
      </c>
      <c r="D291" s="88"/>
      <c r="E291" s="88"/>
      <c r="F291" s="87"/>
      <c r="G291" s="87"/>
      <c r="H291" s="87"/>
      <c r="I291" s="87"/>
      <c r="J291" s="87"/>
      <c r="K291" s="62"/>
    </row>
    <row r="292" spans="1:11" s="5" customFormat="1" ht="15" customHeight="1">
      <c r="A292" s="86"/>
      <c r="B292" s="69"/>
      <c r="C292" s="87"/>
      <c r="D292" s="88"/>
      <c r="E292" s="88"/>
      <c r="F292" s="87"/>
      <c r="G292" s="87"/>
      <c r="H292" s="87"/>
      <c r="I292" s="87"/>
      <c r="J292" s="87"/>
      <c r="K292" s="62"/>
    </row>
    <row r="293" spans="1:11" s="5" customFormat="1" ht="15" customHeight="1">
      <c r="A293" s="63"/>
      <c r="B293" s="64" t="s">
        <v>15</v>
      </c>
      <c r="C293" s="65"/>
      <c r="D293" s="65"/>
      <c r="E293" s="65"/>
      <c r="F293" s="65"/>
      <c r="G293" s="65"/>
      <c r="H293" s="65"/>
      <c r="I293" s="65"/>
      <c r="J293" s="65"/>
      <c r="K293" s="66"/>
    </row>
    <row r="294" spans="1:11" s="5" customFormat="1" ht="15">
      <c r="A294" s="91" t="s">
        <v>373</v>
      </c>
      <c r="B294" s="92" t="s">
        <v>16</v>
      </c>
      <c r="C294" s="70">
        <f>SUM(C295)</f>
        <v>762.552</v>
      </c>
      <c r="D294" s="88">
        <f>SUM(D295:D295)</f>
        <v>12.552</v>
      </c>
      <c r="E294" s="88">
        <f aca="true" t="shared" si="103" ref="E294:J294">SUM(E295:E295)</f>
        <v>0</v>
      </c>
      <c r="F294" s="87">
        <f t="shared" si="103"/>
        <v>0</v>
      </c>
      <c r="G294" s="87">
        <f t="shared" si="103"/>
        <v>50</v>
      </c>
      <c r="H294" s="87">
        <f t="shared" si="103"/>
        <v>300</v>
      </c>
      <c r="I294" s="87">
        <f t="shared" si="103"/>
        <v>200</v>
      </c>
      <c r="J294" s="87">
        <f t="shared" si="103"/>
        <v>200</v>
      </c>
      <c r="K294" s="62"/>
    </row>
    <row r="295" spans="1:11" s="5" customFormat="1" ht="15" customHeight="1">
      <c r="A295" s="91" t="s">
        <v>374</v>
      </c>
      <c r="B295" s="92" t="s">
        <v>7</v>
      </c>
      <c r="C295" s="70">
        <f>SUM(D295:J295)</f>
        <v>762.552</v>
      </c>
      <c r="D295" s="88">
        <f>SUM(D298+D301)</f>
        <v>12.552</v>
      </c>
      <c r="E295" s="88">
        <f aca="true" t="shared" si="104" ref="E295:J295">SUM(E298+E301)</f>
        <v>0</v>
      </c>
      <c r="F295" s="87">
        <f t="shared" si="104"/>
        <v>0</v>
      </c>
      <c r="G295" s="87">
        <f t="shared" si="104"/>
        <v>50</v>
      </c>
      <c r="H295" s="87">
        <f t="shared" si="104"/>
        <v>300</v>
      </c>
      <c r="I295" s="87">
        <f t="shared" si="104"/>
        <v>200</v>
      </c>
      <c r="J295" s="87">
        <f t="shared" si="104"/>
        <v>200</v>
      </c>
      <c r="K295" s="62"/>
    </row>
    <row r="296" spans="1:11" s="5" customFormat="1" ht="15" customHeight="1">
      <c r="A296" s="91"/>
      <c r="B296" s="98"/>
      <c r="C296" s="70"/>
      <c r="D296" s="68"/>
      <c r="E296" s="68"/>
      <c r="F296" s="67"/>
      <c r="G296" s="67"/>
      <c r="H296" s="67"/>
      <c r="I296" s="67"/>
      <c r="J296" s="67"/>
      <c r="K296" s="62"/>
    </row>
    <row r="297" spans="1:11" s="7" customFormat="1" ht="52.5" customHeight="1">
      <c r="A297" s="91" t="s">
        <v>375</v>
      </c>
      <c r="B297" s="92" t="s">
        <v>113</v>
      </c>
      <c r="C297" s="70">
        <f>SUM(C298)</f>
        <v>401.552</v>
      </c>
      <c r="D297" s="88">
        <f>SUM(D298:D298)</f>
        <v>1.552</v>
      </c>
      <c r="E297" s="88">
        <f aca="true" t="shared" si="105" ref="E297:J297">SUM(E298:E298)</f>
        <v>0</v>
      </c>
      <c r="F297" s="87">
        <f t="shared" si="105"/>
        <v>0</v>
      </c>
      <c r="G297" s="87">
        <f t="shared" si="105"/>
        <v>50</v>
      </c>
      <c r="H297" s="87">
        <f t="shared" si="105"/>
        <v>150</v>
      </c>
      <c r="I297" s="87">
        <f t="shared" si="105"/>
        <v>100</v>
      </c>
      <c r="J297" s="87">
        <f t="shared" si="105"/>
        <v>100</v>
      </c>
      <c r="K297" s="62" t="s">
        <v>166</v>
      </c>
    </row>
    <row r="298" spans="1:11" s="7" customFormat="1" ht="15" customHeight="1">
      <c r="A298" s="91" t="s">
        <v>376</v>
      </c>
      <c r="B298" s="92" t="s">
        <v>7</v>
      </c>
      <c r="C298" s="70">
        <f>SUM(D298:J298)</f>
        <v>401.552</v>
      </c>
      <c r="D298" s="88">
        <v>1.552</v>
      </c>
      <c r="E298" s="88">
        <v>0</v>
      </c>
      <c r="F298" s="87">
        <v>0</v>
      </c>
      <c r="G298" s="87">
        <v>50</v>
      </c>
      <c r="H298" s="87">
        <v>150</v>
      </c>
      <c r="I298" s="87">
        <v>100</v>
      </c>
      <c r="J298" s="87">
        <v>100</v>
      </c>
      <c r="K298" s="62"/>
    </row>
    <row r="299" spans="1:11" s="5" customFormat="1" ht="15" customHeight="1">
      <c r="A299" s="91"/>
      <c r="B299" s="92"/>
      <c r="C299" s="70"/>
      <c r="D299" s="88"/>
      <c r="E299" s="88"/>
      <c r="F299" s="87"/>
      <c r="G299" s="87"/>
      <c r="H299" s="87"/>
      <c r="I299" s="87"/>
      <c r="J299" s="87"/>
      <c r="K299" s="62"/>
    </row>
    <row r="300" spans="1:11" s="7" customFormat="1" ht="51" customHeight="1">
      <c r="A300" s="91" t="s">
        <v>377</v>
      </c>
      <c r="B300" s="92" t="s">
        <v>114</v>
      </c>
      <c r="C300" s="70">
        <f>SUM(C301)</f>
        <v>361</v>
      </c>
      <c r="D300" s="88">
        <f>SUM(D301:D301)</f>
        <v>11</v>
      </c>
      <c r="E300" s="88">
        <f aca="true" t="shared" si="106" ref="E300:J300">SUM(E301:E301)</f>
        <v>0</v>
      </c>
      <c r="F300" s="87">
        <f t="shared" si="106"/>
        <v>0</v>
      </c>
      <c r="G300" s="87">
        <f t="shared" si="106"/>
        <v>0</v>
      </c>
      <c r="H300" s="87">
        <f t="shared" si="106"/>
        <v>150</v>
      </c>
      <c r="I300" s="87">
        <f t="shared" si="106"/>
        <v>100</v>
      </c>
      <c r="J300" s="87">
        <f t="shared" si="106"/>
        <v>100</v>
      </c>
      <c r="K300" s="62" t="s">
        <v>167</v>
      </c>
    </row>
    <row r="301" spans="1:11" s="7" customFormat="1" ht="15" customHeight="1">
      <c r="A301" s="91" t="s">
        <v>378</v>
      </c>
      <c r="B301" s="92" t="s">
        <v>7</v>
      </c>
      <c r="C301" s="70">
        <f>SUM(D301:J301)</f>
        <v>361</v>
      </c>
      <c r="D301" s="88">
        <f>150-139</f>
        <v>11</v>
      </c>
      <c r="E301" s="88">
        <v>0</v>
      </c>
      <c r="F301" s="87">
        <v>0</v>
      </c>
      <c r="G301" s="87">
        <v>0</v>
      </c>
      <c r="H301" s="87">
        <v>150</v>
      </c>
      <c r="I301" s="87">
        <v>100</v>
      </c>
      <c r="J301" s="87">
        <v>100</v>
      </c>
      <c r="K301" s="62"/>
    </row>
    <row r="302" spans="1:11" s="5" customFormat="1" ht="15" customHeight="1">
      <c r="A302" s="86"/>
      <c r="B302" s="69"/>
      <c r="C302" s="87"/>
      <c r="D302" s="88"/>
      <c r="E302" s="88"/>
      <c r="F302" s="87"/>
      <c r="G302" s="87"/>
      <c r="H302" s="87"/>
      <c r="I302" s="87"/>
      <c r="J302" s="87"/>
      <c r="K302" s="62"/>
    </row>
    <row r="303" spans="1:11" s="4" customFormat="1" ht="15" customHeight="1">
      <c r="A303" s="63"/>
      <c r="B303" s="64" t="s">
        <v>2</v>
      </c>
      <c r="C303" s="65"/>
      <c r="D303" s="65"/>
      <c r="E303" s="65"/>
      <c r="F303" s="65"/>
      <c r="G303" s="65"/>
      <c r="H303" s="65"/>
      <c r="I303" s="65"/>
      <c r="J303" s="65"/>
      <c r="K303" s="66"/>
    </row>
    <row r="304" spans="1:11" s="5" customFormat="1" ht="15">
      <c r="A304" s="91" t="s">
        <v>379</v>
      </c>
      <c r="B304" s="92" t="s">
        <v>37</v>
      </c>
      <c r="C304" s="70">
        <f>SUM(C305:C308)</f>
        <v>165762.847</v>
      </c>
      <c r="D304" s="88">
        <f>SUM(D305:D308)</f>
        <v>21288.949999999997</v>
      </c>
      <c r="E304" s="88">
        <f aca="true" t="shared" si="107" ref="E304:J304">SUM(E305:E308)</f>
        <v>29337.197</v>
      </c>
      <c r="F304" s="87">
        <f t="shared" si="107"/>
        <v>23899.6</v>
      </c>
      <c r="G304" s="87">
        <f t="shared" si="107"/>
        <v>26943.8</v>
      </c>
      <c r="H304" s="87">
        <f t="shared" si="107"/>
        <v>22075.4</v>
      </c>
      <c r="I304" s="87">
        <f t="shared" si="107"/>
        <v>22122.7</v>
      </c>
      <c r="J304" s="87">
        <f t="shared" si="107"/>
        <v>20095.2</v>
      </c>
      <c r="K304" s="62"/>
    </row>
    <row r="305" spans="1:11" s="5" customFormat="1" ht="15" customHeight="1">
      <c r="A305" s="91" t="s">
        <v>380</v>
      </c>
      <c r="B305" s="92" t="s">
        <v>7</v>
      </c>
      <c r="C305" s="70">
        <f>SUM(D305:J305)</f>
        <v>79738.816</v>
      </c>
      <c r="D305" s="88">
        <f aca="true" t="shared" si="108" ref="D305:J305">SUM(D311+D317)</f>
        <v>9510.15</v>
      </c>
      <c r="E305" s="88">
        <f t="shared" si="108"/>
        <v>12406.866</v>
      </c>
      <c r="F305" s="87">
        <f t="shared" si="108"/>
        <v>11267.6</v>
      </c>
      <c r="G305" s="87">
        <f t="shared" si="108"/>
        <v>12756.5</v>
      </c>
      <c r="H305" s="87">
        <f t="shared" si="108"/>
        <v>11910.2</v>
      </c>
      <c r="I305" s="87">
        <f t="shared" si="108"/>
        <v>11957.5</v>
      </c>
      <c r="J305" s="87">
        <f t="shared" si="108"/>
        <v>9930</v>
      </c>
      <c r="K305" s="62"/>
    </row>
    <row r="306" spans="1:11" s="5" customFormat="1" ht="15" customHeight="1">
      <c r="A306" s="91" t="s">
        <v>381</v>
      </c>
      <c r="B306" s="92" t="s">
        <v>8</v>
      </c>
      <c r="C306" s="70">
        <f>SUM(D306:J306)</f>
        <v>0</v>
      </c>
      <c r="D306" s="88"/>
      <c r="E306" s="88"/>
      <c r="F306" s="87"/>
      <c r="G306" s="87"/>
      <c r="H306" s="87"/>
      <c r="I306" s="87"/>
      <c r="J306" s="87"/>
      <c r="K306" s="62"/>
    </row>
    <row r="307" spans="1:11" s="5" customFormat="1" ht="15" customHeight="1">
      <c r="A307" s="91" t="s">
        <v>382</v>
      </c>
      <c r="B307" s="92" t="s">
        <v>9</v>
      </c>
      <c r="C307" s="70">
        <f>SUM(D307:J307)</f>
        <v>86024.03099999999</v>
      </c>
      <c r="D307" s="88">
        <f>SUM(D319)</f>
        <v>11778.8</v>
      </c>
      <c r="E307" s="88">
        <f aca="true" t="shared" si="109" ref="E307:J307">SUM(E319)</f>
        <v>16930.331</v>
      </c>
      <c r="F307" s="87">
        <f t="shared" si="109"/>
        <v>12632</v>
      </c>
      <c r="G307" s="87">
        <f t="shared" si="109"/>
        <v>14187.3</v>
      </c>
      <c r="H307" s="87">
        <f t="shared" si="109"/>
        <v>10165.2</v>
      </c>
      <c r="I307" s="87">
        <f t="shared" si="109"/>
        <v>10165.2</v>
      </c>
      <c r="J307" s="87">
        <f t="shared" si="109"/>
        <v>10165.2</v>
      </c>
      <c r="K307" s="62"/>
    </row>
    <row r="308" spans="1:11" s="5" customFormat="1" ht="15" customHeight="1">
      <c r="A308" s="91" t="s">
        <v>383</v>
      </c>
      <c r="B308" s="92" t="s">
        <v>10</v>
      </c>
      <c r="C308" s="70">
        <f>SUM(D308:J308)</f>
        <v>0</v>
      </c>
      <c r="D308" s="87"/>
      <c r="E308" s="87"/>
      <c r="F308" s="87"/>
      <c r="G308" s="87"/>
      <c r="H308" s="87"/>
      <c r="I308" s="87"/>
      <c r="J308" s="87"/>
      <c r="K308" s="62"/>
    </row>
    <row r="309" spans="1:11" s="5" customFormat="1" ht="15" customHeight="1">
      <c r="A309" s="63"/>
      <c r="B309" s="64" t="s">
        <v>11</v>
      </c>
      <c r="C309" s="65"/>
      <c r="D309" s="65"/>
      <c r="E309" s="65"/>
      <c r="F309" s="65"/>
      <c r="G309" s="65"/>
      <c r="H309" s="65"/>
      <c r="I309" s="65"/>
      <c r="J309" s="65"/>
      <c r="K309" s="66"/>
    </row>
    <row r="310" spans="1:11" s="5" customFormat="1" ht="19.5" customHeight="1">
      <c r="A310" s="91" t="s">
        <v>384</v>
      </c>
      <c r="B310" s="92" t="s">
        <v>32</v>
      </c>
      <c r="C310" s="70">
        <v>0</v>
      </c>
      <c r="D310" s="88"/>
      <c r="E310" s="88"/>
      <c r="F310" s="87"/>
      <c r="G310" s="87"/>
      <c r="H310" s="87"/>
      <c r="I310" s="87"/>
      <c r="J310" s="87"/>
      <c r="K310" s="62"/>
    </row>
    <row r="311" spans="1:11" s="5" customFormat="1" ht="15" customHeight="1">
      <c r="A311" s="91" t="s">
        <v>385</v>
      </c>
      <c r="B311" s="92" t="s">
        <v>7</v>
      </c>
      <c r="C311" s="70">
        <f>SUM(D311:J311)</f>
        <v>0</v>
      </c>
      <c r="D311" s="88"/>
      <c r="E311" s="88"/>
      <c r="F311" s="87"/>
      <c r="G311" s="87"/>
      <c r="H311" s="87"/>
      <c r="I311" s="87"/>
      <c r="J311" s="87"/>
      <c r="K311" s="62"/>
    </row>
    <row r="312" spans="1:11" s="5" customFormat="1" ht="15" customHeight="1">
      <c r="A312" s="63"/>
      <c r="B312" s="64" t="s">
        <v>12</v>
      </c>
      <c r="C312" s="65"/>
      <c r="D312" s="65"/>
      <c r="E312" s="65"/>
      <c r="F312" s="65"/>
      <c r="G312" s="65"/>
      <c r="H312" s="65"/>
      <c r="I312" s="65"/>
      <c r="J312" s="65"/>
      <c r="K312" s="66"/>
    </row>
    <row r="313" spans="1:11" s="5" customFormat="1" ht="48.75" customHeight="1">
      <c r="A313" s="91" t="s">
        <v>386</v>
      </c>
      <c r="B313" s="92" t="s">
        <v>101</v>
      </c>
      <c r="C313" s="70">
        <v>0</v>
      </c>
      <c r="D313" s="88"/>
      <c r="E313" s="88"/>
      <c r="F313" s="87"/>
      <c r="G313" s="87"/>
      <c r="H313" s="87"/>
      <c r="I313" s="87"/>
      <c r="J313" s="87"/>
      <c r="K313" s="62"/>
    </row>
    <row r="314" spans="1:11" s="5" customFormat="1" ht="15" customHeight="1">
      <c r="A314" s="91" t="s">
        <v>387</v>
      </c>
      <c r="B314" s="92" t="s">
        <v>7</v>
      </c>
      <c r="C314" s="70">
        <f>SUM(D314:J314)</f>
        <v>0</v>
      </c>
      <c r="D314" s="88"/>
      <c r="E314" s="88"/>
      <c r="F314" s="87"/>
      <c r="G314" s="87"/>
      <c r="H314" s="87"/>
      <c r="I314" s="87"/>
      <c r="J314" s="87"/>
      <c r="K314" s="62"/>
    </row>
    <row r="315" spans="1:11" s="5" customFormat="1" ht="15" customHeight="1">
      <c r="A315" s="63"/>
      <c r="B315" s="64" t="s">
        <v>15</v>
      </c>
      <c r="C315" s="65"/>
      <c r="D315" s="65"/>
      <c r="E315" s="65"/>
      <c r="F315" s="65"/>
      <c r="G315" s="65"/>
      <c r="H315" s="65"/>
      <c r="I315" s="65"/>
      <c r="J315" s="65"/>
      <c r="K315" s="66"/>
    </row>
    <row r="316" spans="1:11" s="5" customFormat="1" ht="15">
      <c r="A316" s="91" t="s">
        <v>388</v>
      </c>
      <c r="B316" s="92" t="s">
        <v>16</v>
      </c>
      <c r="C316" s="70">
        <f>SUM(C317:C319)</f>
        <v>165762.847</v>
      </c>
      <c r="D316" s="88">
        <f aca="true" t="shared" si="110" ref="D316:J316">SUM(D317:D319)</f>
        <v>21288.949999999997</v>
      </c>
      <c r="E316" s="88">
        <f t="shared" si="110"/>
        <v>29337.197</v>
      </c>
      <c r="F316" s="87">
        <f t="shared" si="110"/>
        <v>23899.6</v>
      </c>
      <c r="G316" s="87">
        <f t="shared" si="110"/>
        <v>26943.8</v>
      </c>
      <c r="H316" s="87">
        <f t="shared" si="110"/>
        <v>22075.4</v>
      </c>
      <c r="I316" s="87">
        <f t="shared" si="110"/>
        <v>22122.7</v>
      </c>
      <c r="J316" s="87">
        <f t="shared" si="110"/>
        <v>20095.2</v>
      </c>
      <c r="K316" s="62"/>
    </row>
    <row r="317" spans="1:11" s="5" customFormat="1" ht="15" customHeight="1">
      <c r="A317" s="91" t="s">
        <v>389</v>
      </c>
      <c r="B317" s="92" t="s">
        <v>7</v>
      </c>
      <c r="C317" s="70">
        <f>SUM(D317:J317)</f>
        <v>79738.816</v>
      </c>
      <c r="D317" s="88">
        <f aca="true" t="shared" si="111" ref="D317:J317">SUM(D322+D326+D329+D333)</f>
        <v>9510.15</v>
      </c>
      <c r="E317" s="88">
        <f>SUM(E322+E326+E329+E333)</f>
        <v>12406.866</v>
      </c>
      <c r="F317" s="87">
        <f t="shared" si="111"/>
        <v>11267.6</v>
      </c>
      <c r="G317" s="87">
        <f t="shared" si="111"/>
        <v>12756.5</v>
      </c>
      <c r="H317" s="87">
        <f t="shared" si="111"/>
        <v>11910.2</v>
      </c>
      <c r="I317" s="87">
        <f t="shared" si="111"/>
        <v>11957.5</v>
      </c>
      <c r="J317" s="87">
        <f t="shared" si="111"/>
        <v>9930</v>
      </c>
      <c r="K317" s="62"/>
    </row>
    <row r="318" spans="1:11" s="5" customFormat="1" ht="15" customHeight="1">
      <c r="A318" s="91" t="s">
        <v>390</v>
      </c>
      <c r="B318" s="92" t="s">
        <v>8</v>
      </c>
      <c r="C318" s="70">
        <f>SUM(D318:J318)</f>
        <v>0</v>
      </c>
      <c r="D318" s="88"/>
      <c r="E318" s="88"/>
      <c r="F318" s="87"/>
      <c r="G318" s="87"/>
      <c r="H318" s="87"/>
      <c r="I318" s="87"/>
      <c r="J318" s="87"/>
      <c r="K318" s="62"/>
    </row>
    <row r="319" spans="1:11" s="5" customFormat="1" ht="15" customHeight="1">
      <c r="A319" s="91" t="s">
        <v>391</v>
      </c>
      <c r="B319" s="92" t="s">
        <v>9</v>
      </c>
      <c r="C319" s="70">
        <f>SUM(D319:J319)</f>
        <v>86024.03099999999</v>
      </c>
      <c r="D319" s="88">
        <f aca="true" t="shared" si="112" ref="D319:J319">SUM(D330+D323+D334)</f>
        <v>11778.8</v>
      </c>
      <c r="E319" s="88">
        <f t="shared" si="112"/>
        <v>16930.331</v>
      </c>
      <c r="F319" s="87">
        <f t="shared" si="112"/>
        <v>12632</v>
      </c>
      <c r="G319" s="87">
        <f t="shared" si="112"/>
        <v>14187.3</v>
      </c>
      <c r="H319" s="87">
        <f t="shared" si="112"/>
        <v>10165.2</v>
      </c>
      <c r="I319" s="87">
        <f t="shared" si="112"/>
        <v>10165.2</v>
      </c>
      <c r="J319" s="87">
        <f t="shared" si="112"/>
        <v>10165.2</v>
      </c>
      <c r="K319" s="62"/>
    </row>
    <row r="320" spans="1:11" s="5" customFormat="1" ht="15" customHeight="1">
      <c r="A320" s="91"/>
      <c r="B320" s="92"/>
      <c r="C320" s="70"/>
      <c r="D320" s="88"/>
      <c r="E320" s="88"/>
      <c r="F320" s="87"/>
      <c r="G320" s="87"/>
      <c r="H320" s="87"/>
      <c r="I320" s="87"/>
      <c r="J320" s="87"/>
      <c r="K320" s="62"/>
    </row>
    <row r="321" spans="1:11" s="7" customFormat="1" ht="83.25" customHeight="1">
      <c r="A321" s="91" t="s">
        <v>392</v>
      </c>
      <c r="B321" s="92" t="s">
        <v>33</v>
      </c>
      <c r="C321" s="70">
        <f>SUM(C322:C323)</f>
        <v>28654.7</v>
      </c>
      <c r="D321" s="88">
        <f>SUM(D322:D323)</f>
        <v>3671.3</v>
      </c>
      <c r="E321" s="88">
        <f aca="true" t="shared" si="113" ref="E321:J321">SUM(E322:E323)</f>
        <v>9203.4</v>
      </c>
      <c r="F321" s="87">
        <f t="shared" si="113"/>
        <v>3683.4</v>
      </c>
      <c r="G321" s="87">
        <f t="shared" si="113"/>
        <v>6096.6</v>
      </c>
      <c r="H321" s="87">
        <f t="shared" si="113"/>
        <v>2000</v>
      </c>
      <c r="I321" s="87">
        <f t="shared" si="113"/>
        <v>2000</v>
      </c>
      <c r="J321" s="87">
        <f t="shared" si="113"/>
        <v>2000</v>
      </c>
      <c r="K321" s="62" t="s">
        <v>168</v>
      </c>
    </row>
    <row r="322" spans="1:11" s="7" customFormat="1" ht="15" customHeight="1">
      <c r="A322" s="91" t="s">
        <v>393</v>
      </c>
      <c r="B322" s="92" t="s">
        <v>7</v>
      </c>
      <c r="C322" s="70">
        <f>SUM(D322:J322)</f>
        <v>17491.7</v>
      </c>
      <c r="D322" s="88">
        <v>2000</v>
      </c>
      <c r="E322" s="88">
        <f>2000+1001.7+1600</f>
        <v>4601.7</v>
      </c>
      <c r="F322" s="87">
        <f>2000-158.3</f>
        <v>1841.7</v>
      </c>
      <c r="G322" s="87">
        <f>2000+1048.3</f>
        <v>3048.3</v>
      </c>
      <c r="H322" s="87">
        <v>2000</v>
      </c>
      <c r="I322" s="87">
        <v>2000</v>
      </c>
      <c r="J322" s="87">
        <v>2000</v>
      </c>
      <c r="K322" s="62"/>
    </row>
    <row r="323" spans="1:11" s="7" customFormat="1" ht="15" customHeight="1">
      <c r="A323" s="91" t="s">
        <v>394</v>
      </c>
      <c r="B323" s="101" t="s">
        <v>9</v>
      </c>
      <c r="C323" s="70">
        <f>SUM(D323:J323)</f>
        <v>11163</v>
      </c>
      <c r="D323" s="88">
        <f>1671.4-0.1</f>
        <v>1671.3000000000002</v>
      </c>
      <c r="E323" s="88">
        <f>4601.7</f>
        <v>4601.7</v>
      </c>
      <c r="F323" s="87">
        <f>1841.7</f>
        <v>1841.7</v>
      </c>
      <c r="G323" s="87">
        <f>3048.3</f>
        <v>3048.3</v>
      </c>
      <c r="H323" s="87"/>
      <c r="I323" s="87"/>
      <c r="J323" s="87"/>
      <c r="K323" s="62"/>
    </row>
    <row r="324" spans="1:11" s="7" customFormat="1" ht="15" customHeight="1">
      <c r="A324" s="91"/>
      <c r="B324" s="101"/>
      <c r="C324" s="70"/>
      <c r="D324" s="88"/>
      <c r="E324" s="88"/>
      <c r="F324" s="87"/>
      <c r="G324" s="87"/>
      <c r="H324" s="87"/>
      <c r="I324" s="87"/>
      <c r="J324" s="87"/>
      <c r="K324" s="62"/>
    </row>
    <row r="325" spans="1:11" s="7" customFormat="1" ht="50.25" customHeight="1">
      <c r="A325" s="91" t="s">
        <v>395</v>
      </c>
      <c r="B325" s="92" t="s">
        <v>38</v>
      </c>
      <c r="C325" s="70">
        <f>SUM(C326)</f>
        <v>13208.3</v>
      </c>
      <c r="D325" s="88">
        <f aca="true" t="shared" si="114" ref="D325:J325">SUM(D326:D326)</f>
        <v>1600</v>
      </c>
      <c r="E325" s="88">
        <f t="shared" si="114"/>
        <v>1450</v>
      </c>
      <c r="F325" s="87">
        <f t="shared" si="114"/>
        <v>2158.3</v>
      </c>
      <c r="G325" s="87">
        <f t="shared" si="114"/>
        <v>2000</v>
      </c>
      <c r="H325" s="87">
        <f t="shared" si="114"/>
        <v>2000</v>
      </c>
      <c r="I325" s="87">
        <f t="shared" si="114"/>
        <v>2000</v>
      </c>
      <c r="J325" s="87">
        <f t="shared" si="114"/>
        <v>2000</v>
      </c>
      <c r="K325" s="62" t="s">
        <v>183</v>
      </c>
    </row>
    <row r="326" spans="1:11" s="7" customFormat="1" ht="15" customHeight="1">
      <c r="A326" s="91" t="s">
        <v>396</v>
      </c>
      <c r="B326" s="92" t="s">
        <v>7</v>
      </c>
      <c r="C326" s="70">
        <f>SUM(D326:J326)</f>
        <v>13208.3</v>
      </c>
      <c r="D326" s="88">
        <f>2000-400</f>
        <v>1600</v>
      </c>
      <c r="E326" s="88">
        <v>1450</v>
      </c>
      <c r="F326" s="87">
        <f>2000+158.3</f>
        <v>2158.3</v>
      </c>
      <c r="G326" s="87">
        <v>2000</v>
      </c>
      <c r="H326" s="87">
        <v>2000</v>
      </c>
      <c r="I326" s="87">
        <v>2000</v>
      </c>
      <c r="J326" s="87">
        <v>2000</v>
      </c>
      <c r="K326" s="62"/>
    </row>
    <row r="327" spans="1:11" s="5" customFormat="1" ht="15" customHeight="1">
      <c r="A327" s="91"/>
      <c r="B327" s="92"/>
      <c r="C327" s="70"/>
      <c r="D327" s="88"/>
      <c r="E327" s="88"/>
      <c r="F327" s="87"/>
      <c r="G327" s="87"/>
      <c r="H327" s="87"/>
      <c r="I327" s="87"/>
      <c r="J327" s="87"/>
      <c r="K327" s="62"/>
    </row>
    <row r="328" spans="1:11" s="7" customFormat="1" ht="50.25" customHeight="1">
      <c r="A328" s="91" t="s">
        <v>397</v>
      </c>
      <c r="B328" s="92" t="s">
        <v>34</v>
      </c>
      <c r="C328" s="70">
        <f>SUM(C329:C330)</f>
        <v>107915.026</v>
      </c>
      <c r="D328" s="88">
        <f>SUM(D329:D330)</f>
        <v>14317.66</v>
      </c>
      <c r="E328" s="88">
        <f aca="true" t="shared" si="115" ref="E328:J328">SUM(E329:E330)</f>
        <v>15015.466</v>
      </c>
      <c r="F328" s="87">
        <f t="shared" si="115"/>
        <v>15947.3</v>
      </c>
      <c r="G328" s="87">
        <f t="shared" si="115"/>
        <v>16639</v>
      </c>
      <c r="H328" s="87">
        <f t="shared" si="115"/>
        <v>15665.2</v>
      </c>
      <c r="I328" s="87">
        <f t="shared" si="115"/>
        <v>15665.2</v>
      </c>
      <c r="J328" s="87">
        <f t="shared" si="115"/>
        <v>14665.2</v>
      </c>
      <c r="K328" s="62" t="s">
        <v>452</v>
      </c>
    </row>
    <row r="329" spans="1:11" s="7" customFormat="1" ht="15" customHeight="1">
      <c r="A329" s="91" t="s">
        <v>398</v>
      </c>
      <c r="B329" s="92" t="s">
        <v>7</v>
      </c>
      <c r="C329" s="70">
        <f>SUM(D329:J329)</f>
        <v>34592.326</v>
      </c>
      <c r="D329" s="88">
        <v>4210.16</v>
      </c>
      <c r="E329" s="88">
        <f>4000+225.166</f>
        <v>4225.166</v>
      </c>
      <c r="F329" s="87">
        <f>4500+657</f>
        <v>5157</v>
      </c>
      <c r="G329" s="87">
        <v>5500</v>
      </c>
      <c r="H329" s="87">
        <v>5500</v>
      </c>
      <c r="I329" s="87">
        <v>5500</v>
      </c>
      <c r="J329" s="87">
        <v>4500</v>
      </c>
      <c r="K329" s="62"/>
    </row>
    <row r="330" spans="1:11" s="7" customFormat="1" ht="15" customHeight="1">
      <c r="A330" s="91" t="s">
        <v>399</v>
      </c>
      <c r="B330" s="92" t="s">
        <v>9</v>
      </c>
      <c r="C330" s="70">
        <f>SUM(D330:J330)</f>
        <v>73322.7</v>
      </c>
      <c r="D330" s="88">
        <v>10107.5</v>
      </c>
      <c r="E330" s="88">
        <v>10790.3</v>
      </c>
      <c r="F330" s="87">
        <f>10790.3</f>
        <v>10790.3</v>
      </c>
      <c r="G330" s="87">
        <v>11139</v>
      </c>
      <c r="H330" s="87">
        <v>10165.2</v>
      </c>
      <c r="I330" s="87">
        <v>10165.2</v>
      </c>
      <c r="J330" s="87">
        <v>10165.2</v>
      </c>
      <c r="K330" s="62"/>
    </row>
    <row r="331" spans="1:11" s="5" customFormat="1" ht="15" customHeight="1">
      <c r="A331" s="91"/>
      <c r="B331" s="92"/>
      <c r="C331" s="70"/>
      <c r="D331" s="88"/>
      <c r="E331" s="88"/>
      <c r="F331" s="87"/>
      <c r="G331" s="87"/>
      <c r="H331" s="87"/>
      <c r="I331" s="87"/>
      <c r="J331" s="87"/>
      <c r="K331" s="62"/>
    </row>
    <row r="332" spans="1:11" s="7" customFormat="1" ht="48" customHeight="1">
      <c r="A332" s="91" t="s">
        <v>400</v>
      </c>
      <c r="B332" s="92" t="s">
        <v>39</v>
      </c>
      <c r="C332" s="70">
        <f>SUM(D332:J332)</f>
        <v>15984.821</v>
      </c>
      <c r="D332" s="88">
        <f>SUM(D333:D334)</f>
        <v>1699.99</v>
      </c>
      <c r="E332" s="88">
        <f aca="true" t="shared" si="116" ref="E332:J332">SUM(E333:E334)</f>
        <v>3668.331</v>
      </c>
      <c r="F332" s="87">
        <f t="shared" si="116"/>
        <v>2110.6</v>
      </c>
      <c r="G332" s="87">
        <f t="shared" si="116"/>
        <v>2208.2</v>
      </c>
      <c r="H332" s="87">
        <f t="shared" si="116"/>
        <v>2410.2</v>
      </c>
      <c r="I332" s="87">
        <f t="shared" si="116"/>
        <v>2457.5</v>
      </c>
      <c r="J332" s="87">
        <f t="shared" si="116"/>
        <v>1430</v>
      </c>
      <c r="K332" s="62" t="s">
        <v>168</v>
      </c>
    </row>
    <row r="333" spans="1:11" s="7" customFormat="1" ht="15" customHeight="1">
      <c r="A333" s="91" t="s">
        <v>401</v>
      </c>
      <c r="B333" s="92" t="s">
        <v>7</v>
      </c>
      <c r="C333" s="70">
        <f>SUM(D333:J333)</f>
        <v>14446.49</v>
      </c>
      <c r="D333" s="88">
        <v>1699.99</v>
      </c>
      <c r="E333" s="88">
        <f>1950+120+60</f>
        <v>2130</v>
      </c>
      <c r="F333" s="87">
        <v>2110.6</v>
      </c>
      <c r="G333" s="87">
        <v>2208.2</v>
      </c>
      <c r="H333" s="87">
        <v>2410.2</v>
      </c>
      <c r="I333" s="87">
        <v>2457.5</v>
      </c>
      <c r="J333" s="87">
        <v>1430</v>
      </c>
      <c r="K333" s="62"/>
    </row>
    <row r="334" spans="1:11" s="7" customFormat="1" ht="15" customHeight="1">
      <c r="A334" s="91" t="s">
        <v>402</v>
      </c>
      <c r="B334" s="92" t="s">
        <v>9</v>
      </c>
      <c r="C334" s="70">
        <f>SUM(D334:J334)</f>
        <v>1538.331</v>
      </c>
      <c r="D334" s="88"/>
      <c r="E334" s="88">
        <f>1538.331</f>
        <v>1538.331</v>
      </c>
      <c r="F334" s="87"/>
      <c r="G334" s="87"/>
      <c r="H334" s="87"/>
      <c r="I334" s="87"/>
      <c r="J334" s="87"/>
      <c r="K334" s="62"/>
    </row>
    <row r="335" spans="1:11" s="5" customFormat="1" ht="15" customHeight="1">
      <c r="A335" s="86"/>
      <c r="B335" s="92"/>
      <c r="C335" s="87"/>
      <c r="D335" s="88"/>
      <c r="E335" s="88"/>
      <c r="F335" s="87"/>
      <c r="G335" s="87"/>
      <c r="H335" s="87"/>
      <c r="I335" s="87"/>
      <c r="J335" s="87"/>
      <c r="K335" s="62"/>
    </row>
    <row r="336" spans="1:11" s="4" customFormat="1" ht="30.75" customHeight="1">
      <c r="A336" s="63"/>
      <c r="B336" s="64" t="s">
        <v>57</v>
      </c>
      <c r="C336" s="65"/>
      <c r="D336" s="65"/>
      <c r="E336" s="65"/>
      <c r="F336" s="65"/>
      <c r="G336" s="65"/>
      <c r="H336" s="65"/>
      <c r="I336" s="65"/>
      <c r="J336" s="65"/>
      <c r="K336" s="66"/>
    </row>
    <row r="337" spans="1:11" s="5" customFormat="1" ht="15">
      <c r="A337" s="91" t="s">
        <v>403</v>
      </c>
      <c r="B337" s="92" t="s">
        <v>40</v>
      </c>
      <c r="C337" s="87">
        <f aca="true" t="shared" si="117" ref="C337:J337">SUM(C338:C340)</f>
        <v>227707.32069000002</v>
      </c>
      <c r="D337" s="88">
        <f t="shared" si="117"/>
        <v>30652.593</v>
      </c>
      <c r="E337" s="88">
        <f t="shared" si="117"/>
        <v>28375.639000000003</v>
      </c>
      <c r="F337" s="87">
        <f t="shared" si="117"/>
        <v>33999.6861</v>
      </c>
      <c r="G337" s="87">
        <f t="shared" si="117"/>
        <v>31971.70259</v>
      </c>
      <c r="H337" s="87">
        <f t="shared" si="117"/>
        <v>34141.6</v>
      </c>
      <c r="I337" s="87">
        <f t="shared" si="117"/>
        <v>34976.1</v>
      </c>
      <c r="J337" s="87">
        <f t="shared" si="117"/>
        <v>33590</v>
      </c>
      <c r="K337" s="62"/>
    </row>
    <row r="338" spans="1:11" s="5" customFormat="1" ht="15" customHeight="1">
      <c r="A338" s="91" t="s">
        <v>404</v>
      </c>
      <c r="B338" s="92" t="s">
        <v>7</v>
      </c>
      <c r="C338" s="70">
        <f>SUM(D338:J338)</f>
        <v>226957.32069000002</v>
      </c>
      <c r="D338" s="88">
        <f>SUM(D344+D362)</f>
        <v>29902.593</v>
      </c>
      <c r="E338" s="88">
        <f aca="true" t="shared" si="118" ref="E338:J338">SUM(E344+E362)</f>
        <v>28375.639000000003</v>
      </c>
      <c r="F338" s="87">
        <f t="shared" si="118"/>
        <v>33999.6861</v>
      </c>
      <c r="G338" s="87">
        <f t="shared" si="118"/>
        <v>31971.70259</v>
      </c>
      <c r="H338" s="87">
        <f t="shared" si="118"/>
        <v>34141.6</v>
      </c>
      <c r="I338" s="87">
        <f t="shared" si="118"/>
        <v>34976.1</v>
      </c>
      <c r="J338" s="87">
        <f t="shared" si="118"/>
        <v>33590</v>
      </c>
      <c r="K338" s="62"/>
    </row>
    <row r="339" spans="1:11" s="5" customFormat="1" ht="15" customHeight="1">
      <c r="A339" s="91" t="s">
        <v>405</v>
      </c>
      <c r="B339" s="92" t="s">
        <v>8</v>
      </c>
      <c r="C339" s="70">
        <f>SUM(D339:J339)</f>
        <v>0</v>
      </c>
      <c r="D339" s="88"/>
      <c r="E339" s="88"/>
      <c r="F339" s="87"/>
      <c r="G339" s="87"/>
      <c r="H339" s="87"/>
      <c r="I339" s="87"/>
      <c r="J339" s="87"/>
      <c r="K339" s="62"/>
    </row>
    <row r="340" spans="1:11" s="5" customFormat="1" ht="15" customHeight="1">
      <c r="A340" s="91" t="s">
        <v>406</v>
      </c>
      <c r="B340" s="92" t="s">
        <v>9</v>
      </c>
      <c r="C340" s="70">
        <f>SUM(D340:J340)</f>
        <v>750</v>
      </c>
      <c r="D340" s="88">
        <f>SUM(D346)</f>
        <v>750</v>
      </c>
      <c r="E340" s="88">
        <f aca="true" t="shared" si="119" ref="E340:J340">SUM(E346)</f>
        <v>0</v>
      </c>
      <c r="F340" s="87">
        <f t="shared" si="119"/>
        <v>0</v>
      </c>
      <c r="G340" s="87">
        <f t="shared" si="119"/>
        <v>0</v>
      </c>
      <c r="H340" s="87">
        <f t="shared" si="119"/>
        <v>0</v>
      </c>
      <c r="I340" s="87">
        <f t="shared" si="119"/>
        <v>0</v>
      </c>
      <c r="J340" s="87">
        <f t="shared" si="119"/>
        <v>0</v>
      </c>
      <c r="K340" s="62"/>
    </row>
    <row r="341" spans="1:11" s="5" customFormat="1" ht="15" customHeight="1">
      <c r="A341" s="91"/>
      <c r="B341" s="92"/>
      <c r="C341" s="70"/>
      <c r="D341" s="88"/>
      <c r="E341" s="88"/>
      <c r="F341" s="87"/>
      <c r="G341" s="87"/>
      <c r="H341" s="87"/>
      <c r="I341" s="87"/>
      <c r="J341" s="87"/>
      <c r="K341" s="62"/>
    </row>
    <row r="342" spans="1:11" s="5" customFormat="1" ht="15" customHeight="1">
      <c r="A342" s="63"/>
      <c r="B342" s="64" t="s">
        <v>11</v>
      </c>
      <c r="C342" s="65"/>
      <c r="D342" s="65"/>
      <c r="E342" s="65"/>
      <c r="F342" s="65"/>
      <c r="G342" s="65"/>
      <c r="H342" s="65"/>
      <c r="I342" s="65"/>
      <c r="J342" s="65"/>
      <c r="K342" s="66"/>
    </row>
    <row r="343" spans="1:11" s="5" customFormat="1" ht="20.25" customHeight="1">
      <c r="A343" s="91" t="s">
        <v>407</v>
      </c>
      <c r="B343" s="92" t="s">
        <v>32</v>
      </c>
      <c r="C343" s="70">
        <f aca="true" t="shared" si="120" ref="C343:J343">SUM(C344:C346)</f>
        <v>4100</v>
      </c>
      <c r="D343" s="95">
        <f>SUM(D344:D346)</f>
        <v>1500</v>
      </c>
      <c r="E343" s="95">
        <f>SUM(E344:E346)</f>
        <v>0</v>
      </c>
      <c r="F343" s="70">
        <f t="shared" si="120"/>
        <v>0</v>
      </c>
      <c r="G343" s="70">
        <f t="shared" si="120"/>
        <v>0</v>
      </c>
      <c r="H343" s="70">
        <f t="shared" si="120"/>
        <v>0</v>
      </c>
      <c r="I343" s="70">
        <f t="shared" si="120"/>
        <v>1100</v>
      </c>
      <c r="J343" s="70">
        <f t="shared" si="120"/>
        <v>1500</v>
      </c>
      <c r="K343" s="62"/>
    </row>
    <row r="344" spans="1:11" s="5" customFormat="1" ht="15" customHeight="1">
      <c r="A344" s="91" t="s">
        <v>408</v>
      </c>
      <c r="B344" s="92" t="s">
        <v>7</v>
      </c>
      <c r="C344" s="70">
        <f>SUM(D344:J344)</f>
        <v>3350</v>
      </c>
      <c r="D344" s="88">
        <f aca="true" t="shared" si="121" ref="D344:J344">SUM(D350+D354+D357)</f>
        <v>750</v>
      </c>
      <c r="E344" s="88">
        <f t="shared" si="121"/>
        <v>0</v>
      </c>
      <c r="F344" s="87">
        <f t="shared" si="121"/>
        <v>0</v>
      </c>
      <c r="G344" s="87">
        <f t="shared" si="121"/>
        <v>0</v>
      </c>
      <c r="H344" s="87">
        <f t="shared" si="121"/>
        <v>0</v>
      </c>
      <c r="I344" s="87">
        <f t="shared" si="121"/>
        <v>1100</v>
      </c>
      <c r="J344" s="87">
        <f t="shared" si="121"/>
        <v>1500</v>
      </c>
      <c r="K344" s="62"/>
    </row>
    <row r="345" spans="1:11" s="5" customFormat="1" ht="15" customHeight="1">
      <c r="A345" s="91" t="s">
        <v>409</v>
      </c>
      <c r="B345" s="92" t="s">
        <v>8</v>
      </c>
      <c r="C345" s="70">
        <f>SUM(D345:J345)</f>
        <v>0</v>
      </c>
      <c r="D345" s="88"/>
      <c r="E345" s="88"/>
      <c r="F345" s="87"/>
      <c r="G345" s="87"/>
      <c r="H345" s="87"/>
      <c r="I345" s="87"/>
      <c r="J345" s="87"/>
      <c r="K345" s="62"/>
    </row>
    <row r="346" spans="1:11" s="5" customFormat="1" ht="15" customHeight="1">
      <c r="A346" s="91" t="s">
        <v>410</v>
      </c>
      <c r="B346" s="92" t="s">
        <v>9</v>
      </c>
      <c r="C346" s="70">
        <f>SUM(D346:J346)</f>
        <v>750</v>
      </c>
      <c r="D346" s="88">
        <f>SUM(D358)</f>
        <v>750</v>
      </c>
      <c r="E346" s="88">
        <f aca="true" t="shared" si="122" ref="E346:J346">SUM(E358)</f>
        <v>0</v>
      </c>
      <c r="F346" s="87">
        <f t="shared" si="122"/>
        <v>0</v>
      </c>
      <c r="G346" s="87">
        <f t="shared" si="122"/>
        <v>0</v>
      </c>
      <c r="H346" s="87">
        <f t="shared" si="122"/>
        <v>0</v>
      </c>
      <c r="I346" s="87">
        <f t="shared" si="122"/>
        <v>0</v>
      </c>
      <c r="J346" s="87">
        <f t="shared" si="122"/>
        <v>0</v>
      </c>
      <c r="K346" s="62"/>
    </row>
    <row r="347" spans="1:11" s="5" customFormat="1" ht="15" customHeight="1">
      <c r="A347" s="86"/>
      <c r="B347" s="62"/>
      <c r="C347" s="70"/>
      <c r="D347" s="88"/>
      <c r="E347" s="88"/>
      <c r="F347" s="87"/>
      <c r="G347" s="87"/>
      <c r="H347" s="87"/>
      <c r="I347" s="87"/>
      <c r="J347" s="87"/>
      <c r="K347" s="62"/>
    </row>
    <row r="348" spans="1:11" s="5" customFormat="1" ht="15" customHeight="1">
      <c r="A348" s="63"/>
      <c r="B348" s="64" t="s">
        <v>12</v>
      </c>
      <c r="C348" s="65"/>
      <c r="D348" s="65"/>
      <c r="E348" s="65"/>
      <c r="F348" s="65"/>
      <c r="G348" s="65"/>
      <c r="H348" s="65"/>
      <c r="I348" s="65"/>
      <c r="J348" s="65"/>
      <c r="K348" s="66"/>
    </row>
    <row r="349" spans="1:11" s="5" customFormat="1" ht="48.75" customHeight="1">
      <c r="A349" s="91" t="s">
        <v>411</v>
      </c>
      <c r="B349" s="92" t="s">
        <v>102</v>
      </c>
      <c r="C349" s="70">
        <v>0</v>
      </c>
      <c r="D349" s="88">
        <f>SUM(D350:D351)</f>
        <v>0</v>
      </c>
      <c r="E349" s="88">
        <f aca="true" t="shared" si="123" ref="E349:J349">SUM(E350:E351)</f>
        <v>0</v>
      </c>
      <c r="F349" s="87">
        <f t="shared" si="123"/>
        <v>0</v>
      </c>
      <c r="G349" s="87">
        <f t="shared" si="123"/>
        <v>0</v>
      </c>
      <c r="H349" s="87">
        <f t="shared" si="123"/>
        <v>0</v>
      </c>
      <c r="I349" s="87">
        <f t="shared" si="123"/>
        <v>0</v>
      </c>
      <c r="J349" s="87">
        <f t="shared" si="123"/>
        <v>0</v>
      </c>
      <c r="K349" s="62"/>
    </row>
    <row r="350" spans="1:11" s="5" customFormat="1" ht="15" customHeight="1">
      <c r="A350" s="91" t="s">
        <v>412</v>
      </c>
      <c r="B350" s="92" t="s">
        <v>7</v>
      </c>
      <c r="C350" s="70">
        <f>SUM(D350:J350)</f>
        <v>0</v>
      </c>
      <c r="D350" s="88"/>
      <c r="E350" s="88"/>
      <c r="F350" s="87"/>
      <c r="G350" s="87"/>
      <c r="H350" s="87"/>
      <c r="I350" s="87"/>
      <c r="J350" s="87"/>
      <c r="K350" s="62"/>
    </row>
    <row r="351" spans="1:11" s="5" customFormat="1" ht="15" customHeight="1">
      <c r="A351" s="91"/>
      <c r="B351" s="92"/>
      <c r="C351" s="95"/>
      <c r="D351" s="88"/>
      <c r="E351" s="88"/>
      <c r="F351" s="87"/>
      <c r="G351" s="87"/>
      <c r="H351" s="87"/>
      <c r="I351" s="87"/>
      <c r="J351" s="87"/>
      <c r="K351" s="62"/>
    </row>
    <row r="352" spans="1:11" s="5" customFormat="1" ht="15" customHeight="1">
      <c r="A352" s="63"/>
      <c r="B352" s="64" t="s">
        <v>23</v>
      </c>
      <c r="C352" s="65"/>
      <c r="D352" s="65"/>
      <c r="E352" s="65"/>
      <c r="F352" s="65"/>
      <c r="G352" s="65"/>
      <c r="H352" s="65"/>
      <c r="I352" s="65"/>
      <c r="J352" s="65"/>
      <c r="K352" s="66"/>
    </row>
    <row r="353" spans="1:11" s="7" customFormat="1" ht="51.75" customHeight="1">
      <c r="A353" s="91" t="s">
        <v>413</v>
      </c>
      <c r="B353" s="92" t="s">
        <v>42</v>
      </c>
      <c r="C353" s="70">
        <f>SUM(D353:J353)</f>
        <v>1100</v>
      </c>
      <c r="D353" s="88">
        <f>SUM(D354)</f>
        <v>0</v>
      </c>
      <c r="E353" s="88">
        <f aca="true" t="shared" si="124" ref="E353:J353">SUM(E354)</f>
        <v>0</v>
      </c>
      <c r="F353" s="87">
        <f t="shared" si="124"/>
        <v>0</v>
      </c>
      <c r="G353" s="87">
        <f t="shared" si="124"/>
        <v>0</v>
      </c>
      <c r="H353" s="87">
        <f t="shared" si="124"/>
        <v>0</v>
      </c>
      <c r="I353" s="87">
        <f t="shared" si="124"/>
        <v>1100</v>
      </c>
      <c r="J353" s="87">
        <f t="shared" si="124"/>
        <v>0</v>
      </c>
      <c r="K353" s="62" t="s">
        <v>184</v>
      </c>
    </row>
    <row r="354" spans="1:11" s="7" customFormat="1" ht="15" customHeight="1">
      <c r="A354" s="91" t="s">
        <v>414</v>
      </c>
      <c r="B354" s="92" t="s">
        <v>7</v>
      </c>
      <c r="C354" s="70">
        <f>SUM(D354:J354)</f>
        <v>1100</v>
      </c>
      <c r="D354" s="88"/>
      <c r="E354" s="88"/>
      <c r="F354" s="87"/>
      <c r="G354" s="87"/>
      <c r="H354" s="87"/>
      <c r="I354" s="87">
        <v>1100</v>
      </c>
      <c r="J354" s="87"/>
      <c r="K354" s="62"/>
    </row>
    <row r="355" spans="1:11" s="5" customFormat="1" ht="15" customHeight="1">
      <c r="A355" s="91"/>
      <c r="B355" s="92"/>
      <c r="C355" s="70"/>
      <c r="D355" s="88"/>
      <c r="E355" s="88"/>
      <c r="F355" s="87"/>
      <c r="G355" s="87"/>
      <c r="H355" s="87"/>
      <c r="I355" s="87"/>
      <c r="J355" s="87"/>
      <c r="K355" s="62"/>
    </row>
    <row r="356" spans="1:11" s="7" customFormat="1" ht="79.5" customHeight="1">
      <c r="A356" s="91" t="s">
        <v>415</v>
      </c>
      <c r="B356" s="92" t="s">
        <v>52</v>
      </c>
      <c r="C356" s="87">
        <f>SUM(C357:C358)</f>
        <v>3000</v>
      </c>
      <c r="D356" s="88">
        <f>SUM(D357:D358)</f>
        <v>1500</v>
      </c>
      <c r="E356" s="88">
        <f aca="true" t="shared" si="125" ref="E356:J356">SUM(E357:E358)</f>
        <v>0</v>
      </c>
      <c r="F356" s="87">
        <f t="shared" si="125"/>
        <v>0</v>
      </c>
      <c r="G356" s="87">
        <f t="shared" si="125"/>
        <v>0</v>
      </c>
      <c r="H356" s="87">
        <f t="shared" si="125"/>
        <v>0</v>
      </c>
      <c r="I356" s="87">
        <f t="shared" si="125"/>
        <v>0</v>
      </c>
      <c r="J356" s="87">
        <f t="shared" si="125"/>
        <v>1500</v>
      </c>
      <c r="K356" s="62" t="s">
        <v>185</v>
      </c>
    </row>
    <row r="357" spans="1:11" s="7" customFormat="1" ht="15">
      <c r="A357" s="91" t="s">
        <v>416</v>
      </c>
      <c r="B357" s="92" t="s">
        <v>7</v>
      </c>
      <c r="C357" s="70">
        <f>SUM(D357:J357)</f>
        <v>2250</v>
      </c>
      <c r="D357" s="88">
        <f>700+50</f>
        <v>750</v>
      </c>
      <c r="E357" s="88"/>
      <c r="F357" s="87"/>
      <c r="G357" s="87">
        <f>1505-1505</f>
        <v>0</v>
      </c>
      <c r="H357" s="87"/>
      <c r="I357" s="87"/>
      <c r="J357" s="87">
        <v>1500</v>
      </c>
      <c r="K357" s="62"/>
    </row>
    <row r="358" spans="1:11" s="7" customFormat="1" ht="15" customHeight="1">
      <c r="A358" s="91" t="s">
        <v>417</v>
      </c>
      <c r="B358" s="92" t="s">
        <v>9</v>
      </c>
      <c r="C358" s="70">
        <f>SUM(D358:J358)</f>
        <v>750</v>
      </c>
      <c r="D358" s="88">
        <f>750</f>
        <v>750</v>
      </c>
      <c r="E358" s="88"/>
      <c r="F358" s="87"/>
      <c r="G358" s="87"/>
      <c r="H358" s="87"/>
      <c r="I358" s="87"/>
      <c r="J358" s="87"/>
      <c r="K358" s="62"/>
    </row>
    <row r="359" spans="1:11" s="5" customFormat="1" ht="15" customHeight="1">
      <c r="A359" s="91"/>
      <c r="B359" s="98"/>
      <c r="C359" s="95"/>
      <c r="D359" s="88"/>
      <c r="E359" s="88"/>
      <c r="F359" s="87"/>
      <c r="G359" s="87"/>
      <c r="H359" s="87"/>
      <c r="I359" s="87"/>
      <c r="J359" s="87"/>
      <c r="K359" s="62"/>
    </row>
    <row r="360" spans="1:11" s="5" customFormat="1" ht="15" customHeight="1">
      <c r="A360" s="63"/>
      <c r="B360" s="64" t="s">
        <v>15</v>
      </c>
      <c r="C360" s="65"/>
      <c r="D360" s="65"/>
      <c r="E360" s="65"/>
      <c r="F360" s="65"/>
      <c r="G360" s="65"/>
      <c r="H360" s="65"/>
      <c r="I360" s="65"/>
      <c r="J360" s="65"/>
      <c r="K360" s="66"/>
    </row>
    <row r="361" spans="1:11" s="5" customFormat="1" ht="15">
      <c r="A361" s="91" t="s">
        <v>418</v>
      </c>
      <c r="B361" s="92" t="s">
        <v>16</v>
      </c>
      <c r="C361" s="70">
        <f>SUM(C362)</f>
        <v>223607.32069000002</v>
      </c>
      <c r="D361" s="88">
        <f>SUM(D362:D362)</f>
        <v>29152.593</v>
      </c>
      <c r="E361" s="88">
        <f aca="true" t="shared" si="126" ref="E361:J361">SUM(E362:E362)</f>
        <v>28375.639000000003</v>
      </c>
      <c r="F361" s="87">
        <f t="shared" si="126"/>
        <v>33999.6861</v>
      </c>
      <c r="G361" s="87">
        <f t="shared" si="126"/>
        <v>31971.70259</v>
      </c>
      <c r="H361" s="87">
        <f t="shared" si="126"/>
        <v>34141.6</v>
      </c>
      <c r="I361" s="87">
        <f t="shared" si="126"/>
        <v>33876.1</v>
      </c>
      <c r="J361" s="87">
        <f t="shared" si="126"/>
        <v>32090</v>
      </c>
      <c r="K361" s="62"/>
    </row>
    <row r="362" spans="1:11" s="5" customFormat="1" ht="15" customHeight="1">
      <c r="A362" s="91" t="s">
        <v>419</v>
      </c>
      <c r="B362" s="92" t="s">
        <v>7</v>
      </c>
      <c r="C362" s="87">
        <f>SUM(D362:J362)</f>
        <v>223607.32069000002</v>
      </c>
      <c r="D362" s="88">
        <f>SUM(D365+D368+D383+D386+D389)</f>
        <v>29152.593</v>
      </c>
      <c r="E362" s="88">
        <f aca="true" t="shared" si="127" ref="E362:J362">SUM(E365+E368+E383+E386+E389)</f>
        <v>28375.639000000003</v>
      </c>
      <c r="F362" s="87">
        <f t="shared" si="127"/>
        <v>33999.6861</v>
      </c>
      <c r="G362" s="87">
        <f t="shared" si="127"/>
        <v>31971.70259</v>
      </c>
      <c r="H362" s="87">
        <f t="shared" si="127"/>
        <v>34141.6</v>
      </c>
      <c r="I362" s="87">
        <f t="shared" si="127"/>
        <v>33876.1</v>
      </c>
      <c r="J362" s="87">
        <f t="shared" si="127"/>
        <v>32090</v>
      </c>
      <c r="K362" s="62"/>
    </row>
    <row r="363" spans="1:11" s="5" customFormat="1" ht="15" customHeight="1">
      <c r="A363" s="91"/>
      <c r="B363" s="98"/>
      <c r="C363" s="70"/>
      <c r="D363" s="88"/>
      <c r="E363" s="88"/>
      <c r="F363" s="87"/>
      <c r="G363" s="87"/>
      <c r="H363" s="87"/>
      <c r="I363" s="87"/>
      <c r="J363" s="87"/>
      <c r="K363" s="62"/>
    </row>
    <row r="364" spans="1:11" s="7" customFormat="1" ht="60">
      <c r="A364" s="91" t="s">
        <v>420</v>
      </c>
      <c r="B364" s="92" t="s">
        <v>458</v>
      </c>
      <c r="C364" s="70">
        <f>SUM(C365)</f>
        <v>26236.988690000002</v>
      </c>
      <c r="D364" s="88">
        <f>SUM(D365)</f>
        <v>3600</v>
      </c>
      <c r="E364" s="88">
        <f aca="true" t="shared" si="128" ref="E364:J364">SUM(E365)</f>
        <v>3613</v>
      </c>
      <c r="F364" s="87">
        <f t="shared" si="128"/>
        <v>3778.1861</v>
      </c>
      <c r="G364" s="87">
        <f t="shared" si="128"/>
        <v>3641.7025900000003</v>
      </c>
      <c r="H364" s="87">
        <f t="shared" si="128"/>
        <v>3772.2000000000003</v>
      </c>
      <c r="I364" s="87">
        <f t="shared" si="128"/>
        <v>3831.9</v>
      </c>
      <c r="J364" s="87">
        <f t="shared" si="128"/>
        <v>4000</v>
      </c>
      <c r="K364" s="62" t="s">
        <v>186</v>
      </c>
    </row>
    <row r="365" spans="1:11" s="7" customFormat="1" ht="15" customHeight="1">
      <c r="A365" s="91" t="s">
        <v>421</v>
      </c>
      <c r="B365" s="92" t="s">
        <v>7</v>
      </c>
      <c r="C365" s="70">
        <f>SUM(D365:J365)</f>
        <v>26236.988690000002</v>
      </c>
      <c r="D365" s="88">
        <v>3600</v>
      </c>
      <c r="E365" s="88">
        <v>3613</v>
      </c>
      <c r="F365" s="87">
        <f>3681+105-7.8139</f>
        <v>3778.1861</v>
      </c>
      <c r="G365" s="87">
        <f>3390.3+83.97336+167.42923</f>
        <v>3641.7025900000003</v>
      </c>
      <c r="H365" s="87">
        <f>3390.3+381.9</f>
        <v>3772.2000000000003</v>
      </c>
      <c r="I365" s="87">
        <f>3450+381.9</f>
        <v>3831.9</v>
      </c>
      <c r="J365" s="87">
        <v>4000</v>
      </c>
      <c r="K365" s="62"/>
    </row>
    <row r="366" spans="1:11" s="5" customFormat="1" ht="15" customHeight="1">
      <c r="A366" s="91"/>
      <c r="B366" s="92"/>
      <c r="C366" s="70"/>
      <c r="D366" s="88"/>
      <c r="E366" s="88"/>
      <c r="F366" s="87"/>
      <c r="G366" s="87"/>
      <c r="H366" s="87"/>
      <c r="I366" s="87"/>
      <c r="J366" s="87"/>
      <c r="K366" s="62"/>
    </row>
    <row r="367" spans="1:11" s="5" customFormat="1" ht="99" customHeight="1">
      <c r="A367" s="91" t="s">
        <v>422</v>
      </c>
      <c r="B367" s="92" t="s">
        <v>115</v>
      </c>
      <c r="C367" s="70">
        <f aca="true" t="shared" si="129" ref="C367:J367">SUM(C368)</f>
        <v>194516.469</v>
      </c>
      <c r="D367" s="88">
        <f>SUM(D368)</f>
        <v>25048.73</v>
      </c>
      <c r="E367" s="88">
        <f t="shared" si="129"/>
        <v>24392.639000000003</v>
      </c>
      <c r="F367" s="87">
        <f t="shared" si="129"/>
        <v>29891.5</v>
      </c>
      <c r="G367" s="87">
        <f t="shared" si="129"/>
        <v>28000</v>
      </c>
      <c r="H367" s="87">
        <f t="shared" si="129"/>
        <v>29929.4</v>
      </c>
      <c r="I367" s="87">
        <f t="shared" si="129"/>
        <v>29604.2</v>
      </c>
      <c r="J367" s="87">
        <f t="shared" si="129"/>
        <v>27650</v>
      </c>
      <c r="K367" s="62" t="s">
        <v>187</v>
      </c>
    </row>
    <row r="368" spans="1:11" s="5" customFormat="1" ht="15" customHeight="1">
      <c r="A368" s="91" t="s">
        <v>423</v>
      </c>
      <c r="B368" s="92" t="s">
        <v>7</v>
      </c>
      <c r="C368" s="70">
        <f>SUM(D368:J368)</f>
        <v>194516.469</v>
      </c>
      <c r="D368" s="88">
        <f>SUM(D371+D374+D377+D380)</f>
        <v>25048.73</v>
      </c>
      <c r="E368" s="88">
        <f aca="true" t="shared" si="130" ref="E368:J368">SUM(E371+E374+E377+E380)</f>
        <v>24392.639000000003</v>
      </c>
      <c r="F368" s="87">
        <f t="shared" si="130"/>
        <v>29891.5</v>
      </c>
      <c r="G368" s="87">
        <f t="shared" si="130"/>
        <v>28000</v>
      </c>
      <c r="H368" s="87">
        <f t="shared" si="130"/>
        <v>29929.4</v>
      </c>
      <c r="I368" s="87">
        <f t="shared" si="130"/>
        <v>29604.2</v>
      </c>
      <c r="J368" s="87">
        <f t="shared" si="130"/>
        <v>27650</v>
      </c>
      <c r="K368" s="62"/>
    </row>
    <row r="369" spans="1:11" s="5" customFormat="1" ht="15" customHeight="1">
      <c r="A369" s="91"/>
      <c r="B369" s="92"/>
      <c r="C369" s="70"/>
      <c r="D369" s="88"/>
      <c r="E369" s="88"/>
      <c r="F369" s="87"/>
      <c r="G369" s="87"/>
      <c r="H369" s="87"/>
      <c r="I369" s="87"/>
      <c r="J369" s="87"/>
      <c r="K369" s="62"/>
    </row>
    <row r="370" spans="1:11" s="7" customFormat="1" ht="33" customHeight="1">
      <c r="A370" s="91" t="s">
        <v>424</v>
      </c>
      <c r="B370" s="92" t="s">
        <v>116</v>
      </c>
      <c r="C370" s="70">
        <f aca="true" t="shared" si="131" ref="C370:J370">SUM(C371)</f>
        <v>17287.93</v>
      </c>
      <c r="D370" s="88">
        <f t="shared" si="131"/>
        <v>1933.73</v>
      </c>
      <c r="E370" s="88">
        <f t="shared" si="131"/>
        <v>2373</v>
      </c>
      <c r="F370" s="87">
        <f t="shared" si="131"/>
        <v>2055</v>
      </c>
      <c r="G370" s="87">
        <f t="shared" si="131"/>
        <v>2548.6</v>
      </c>
      <c r="H370" s="87">
        <f t="shared" si="131"/>
        <v>3016.1</v>
      </c>
      <c r="I370" s="87">
        <f t="shared" si="131"/>
        <v>3121.5</v>
      </c>
      <c r="J370" s="87">
        <f t="shared" si="131"/>
        <v>2240</v>
      </c>
      <c r="K370" s="62"/>
    </row>
    <row r="371" spans="1:11" s="7" customFormat="1" ht="15" customHeight="1">
      <c r="A371" s="91" t="s">
        <v>425</v>
      </c>
      <c r="B371" s="92" t="s">
        <v>7</v>
      </c>
      <c r="C371" s="70">
        <f>SUM(D371:J371)</f>
        <v>17287.93</v>
      </c>
      <c r="D371" s="88">
        <v>1933.73</v>
      </c>
      <c r="E371" s="88">
        <f>2043+250+80</f>
        <v>2373</v>
      </c>
      <c r="F371" s="87">
        <f>2605-550</f>
        <v>2055</v>
      </c>
      <c r="G371" s="87">
        <v>2548.6</v>
      </c>
      <c r="H371" s="87">
        <v>3016.1</v>
      </c>
      <c r="I371" s="87">
        <v>3121.5</v>
      </c>
      <c r="J371" s="87">
        <v>2240</v>
      </c>
      <c r="K371" s="62"/>
    </row>
    <row r="372" spans="1:11" s="5" customFormat="1" ht="15" customHeight="1">
      <c r="A372" s="91"/>
      <c r="B372" s="92"/>
      <c r="C372" s="70"/>
      <c r="D372" s="88"/>
      <c r="E372" s="88"/>
      <c r="F372" s="87"/>
      <c r="G372" s="87"/>
      <c r="H372" s="87"/>
      <c r="I372" s="87"/>
      <c r="J372" s="87"/>
      <c r="K372" s="62"/>
    </row>
    <row r="373" spans="1:11" s="7" customFormat="1" ht="34.5" customHeight="1">
      <c r="A373" s="91" t="s">
        <v>426</v>
      </c>
      <c r="B373" s="92" t="s">
        <v>117</v>
      </c>
      <c r="C373" s="70">
        <f aca="true" t="shared" si="132" ref="C373:J373">SUM(C374)</f>
        <v>220</v>
      </c>
      <c r="D373" s="88">
        <f t="shared" si="132"/>
        <v>0</v>
      </c>
      <c r="E373" s="88">
        <f t="shared" si="132"/>
        <v>220</v>
      </c>
      <c r="F373" s="87">
        <f t="shared" si="132"/>
        <v>0</v>
      </c>
      <c r="G373" s="87">
        <f t="shared" si="132"/>
        <v>0</v>
      </c>
      <c r="H373" s="87">
        <f t="shared" si="132"/>
        <v>0</v>
      </c>
      <c r="I373" s="87">
        <f t="shared" si="132"/>
        <v>0</v>
      </c>
      <c r="J373" s="87">
        <f t="shared" si="132"/>
        <v>0</v>
      </c>
      <c r="K373" s="62"/>
    </row>
    <row r="374" spans="1:11" s="7" customFormat="1" ht="15" customHeight="1">
      <c r="A374" s="91" t="s">
        <v>427</v>
      </c>
      <c r="B374" s="92" t="s">
        <v>7</v>
      </c>
      <c r="C374" s="70">
        <f>SUM(D374:J374)</f>
        <v>220</v>
      </c>
      <c r="D374" s="88">
        <f>140-140</f>
        <v>0</v>
      </c>
      <c r="E374" s="88">
        <f>279-59</f>
        <v>220</v>
      </c>
      <c r="F374" s="87">
        <v>0</v>
      </c>
      <c r="G374" s="87">
        <v>0</v>
      </c>
      <c r="H374" s="87">
        <v>0</v>
      </c>
      <c r="I374" s="87">
        <v>0</v>
      </c>
      <c r="J374" s="87">
        <v>0</v>
      </c>
      <c r="K374" s="62"/>
    </row>
    <row r="375" spans="1:11" s="5" customFormat="1" ht="15" customHeight="1">
      <c r="A375" s="91"/>
      <c r="B375" s="92"/>
      <c r="C375" s="70"/>
      <c r="D375" s="88"/>
      <c r="E375" s="88"/>
      <c r="F375" s="87"/>
      <c r="G375" s="87"/>
      <c r="H375" s="87"/>
      <c r="I375" s="87"/>
      <c r="J375" s="87"/>
      <c r="K375" s="62"/>
    </row>
    <row r="376" spans="1:11" s="7" customFormat="1" ht="50.25" customHeight="1">
      <c r="A376" s="91" t="s">
        <v>428</v>
      </c>
      <c r="B376" s="92" t="s">
        <v>118</v>
      </c>
      <c r="C376" s="70">
        <f aca="true" t="shared" si="133" ref="C376:J376">SUM(C377)</f>
        <v>95233.82599999999</v>
      </c>
      <c r="D376" s="88">
        <f t="shared" si="133"/>
        <v>12833</v>
      </c>
      <c r="E376" s="88">
        <f t="shared" si="133"/>
        <v>11918.626</v>
      </c>
      <c r="F376" s="87">
        <f t="shared" si="133"/>
        <v>13908.9</v>
      </c>
      <c r="G376" s="87">
        <f t="shared" si="133"/>
        <v>13431.2</v>
      </c>
      <c r="H376" s="87">
        <f t="shared" si="133"/>
        <v>13918.7</v>
      </c>
      <c r="I376" s="87">
        <f t="shared" si="133"/>
        <v>14313.4</v>
      </c>
      <c r="J376" s="87">
        <f t="shared" si="133"/>
        <v>14910</v>
      </c>
      <c r="K376" s="62"/>
    </row>
    <row r="377" spans="1:11" s="7" customFormat="1" ht="15" customHeight="1">
      <c r="A377" s="91" t="s">
        <v>429</v>
      </c>
      <c r="B377" s="92" t="s">
        <v>7</v>
      </c>
      <c r="C377" s="70">
        <f>SUM(D377:J377)</f>
        <v>95233.82599999999</v>
      </c>
      <c r="D377" s="88">
        <f>12743+90</f>
        <v>12833</v>
      </c>
      <c r="E377" s="88">
        <f>12201-277.9+245.5+0.026-250</f>
        <v>11918.626</v>
      </c>
      <c r="F377" s="87">
        <f>13569.4+169.5+170</f>
        <v>13908.9</v>
      </c>
      <c r="G377" s="87">
        <v>13431.2</v>
      </c>
      <c r="H377" s="87">
        <v>13918.7</v>
      </c>
      <c r="I377" s="87">
        <v>14313.4</v>
      </c>
      <c r="J377" s="87">
        <v>14910</v>
      </c>
      <c r="K377" s="62"/>
    </row>
    <row r="378" spans="1:11" s="5" customFormat="1" ht="15" customHeight="1">
      <c r="A378" s="91"/>
      <c r="B378" s="92"/>
      <c r="C378" s="70"/>
      <c r="D378" s="88"/>
      <c r="E378" s="88"/>
      <c r="F378" s="87"/>
      <c r="G378" s="87"/>
      <c r="H378" s="87"/>
      <c r="I378" s="87"/>
      <c r="J378" s="87"/>
      <c r="K378" s="62"/>
    </row>
    <row r="379" spans="1:11" s="7" customFormat="1" ht="48" customHeight="1">
      <c r="A379" s="91" t="s">
        <v>430</v>
      </c>
      <c r="B379" s="92" t="s">
        <v>119</v>
      </c>
      <c r="C379" s="70">
        <f aca="true" t="shared" si="134" ref="C379:J379">SUM(C380)</f>
        <v>81774.71299999999</v>
      </c>
      <c r="D379" s="88">
        <f t="shared" si="134"/>
        <v>10282</v>
      </c>
      <c r="E379" s="88">
        <f t="shared" si="134"/>
        <v>9881.013</v>
      </c>
      <c r="F379" s="87">
        <f t="shared" si="134"/>
        <v>13927.6</v>
      </c>
      <c r="G379" s="87">
        <f t="shared" si="134"/>
        <v>12020.2</v>
      </c>
      <c r="H379" s="87">
        <f t="shared" si="134"/>
        <v>12994.6</v>
      </c>
      <c r="I379" s="87">
        <f t="shared" si="134"/>
        <v>12169.3</v>
      </c>
      <c r="J379" s="87">
        <f t="shared" si="134"/>
        <v>10500</v>
      </c>
      <c r="K379" s="62"/>
    </row>
    <row r="380" spans="1:11" s="7" customFormat="1" ht="15" customHeight="1">
      <c r="A380" s="91" t="s">
        <v>431</v>
      </c>
      <c r="B380" s="92" t="s">
        <v>7</v>
      </c>
      <c r="C380" s="70">
        <f>SUM(D380:J380)</f>
        <v>81774.71299999999</v>
      </c>
      <c r="D380" s="88">
        <v>10282</v>
      </c>
      <c r="E380" s="88">
        <f>9977-15.987-80</f>
        <v>9881.013</v>
      </c>
      <c r="F380" s="87">
        <f>13927.6+1000-1000</f>
        <v>13927.6</v>
      </c>
      <c r="G380" s="87">
        <v>12020.2</v>
      </c>
      <c r="H380" s="87">
        <v>12994.6</v>
      </c>
      <c r="I380" s="87">
        <v>12169.3</v>
      </c>
      <c r="J380" s="87">
        <v>10500</v>
      </c>
      <c r="K380" s="62"/>
    </row>
    <row r="381" spans="1:11" s="5" customFormat="1" ht="15" customHeight="1">
      <c r="A381" s="91"/>
      <c r="B381" s="92"/>
      <c r="C381" s="70"/>
      <c r="D381" s="88"/>
      <c r="E381" s="88"/>
      <c r="F381" s="87"/>
      <c r="G381" s="87"/>
      <c r="H381" s="87"/>
      <c r="I381" s="87"/>
      <c r="J381" s="87"/>
      <c r="K381" s="62"/>
    </row>
    <row r="382" spans="1:11" s="7" customFormat="1" ht="36.75" customHeight="1">
      <c r="A382" s="91" t="s">
        <v>432</v>
      </c>
      <c r="B382" s="92" t="s">
        <v>120</v>
      </c>
      <c r="C382" s="70">
        <f aca="true" t="shared" si="135" ref="C382:J382">SUM(C383)</f>
        <v>2230</v>
      </c>
      <c r="D382" s="88">
        <f t="shared" si="135"/>
        <v>290</v>
      </c>
      <c r="E382" s="88">
        <f t="shared" si="135"/>
        <v>290</v>
      </c>
      <c r="F382" s="87">
        <f t="shared" si="135"/>
        <v>330</v>
      </c>
      <c r="G382" s="87">
        <f t="shared" si="135"/>
        <v>330</v>
      </c>
      <c r="H382" s="87">
        <f t="shared" si="135"/>
        <v>330</v>
      </c>
      <c r="I382" s="87">
        <f t="shared" si="135"/>
        <v>330</v>
      </c>
      <c r="J382" s="87">
        <f t="shared" si="135"/>
        <v>330</v>
      </c>
      <c r="K382" s="62" t="s">
        <v>166</v>
      </c>
    </row>
    <row r="383" spans="1:11" s="7" customFormat="1" ht="15" customHeight="1">
      <c r="A383" s="91" t="s">
        <v>433</v>
      </c>
      <c r="B383" s="92" t="s">
        <v>7</v>
      </c>
      <c r="C383" s="70">
        <f>SUM(D383:J383)</f>
        <v>2230</v>
      </c>
      <c r="D383" s="88">
        <f>120+200-30</f>
        <v>290</v>
      </c>
      <c r="E383" s="88">
        <f>230+60</f>
        <v>290</v>
      </c>
      <c r="F383" s="87">
        <f>30+300</f>
        <v>330</v>
      </c>
      <c r="G383" s="87">
        <v>330</v>
      </c>
      <c r="H383" s="87">
        <f>130+200</f>
        <v>330</v>
      </c>
      <c r="I383" s="87">
        <f>130+200</f>
        <v>330</v>
      </c>
      <c r="J383" s="87">
        <f>130+200</f>
        <v>330</v>
      </c>
      <c r="K383" s="62"/>
    </row>
    <row r="384" spans="1:11" s="5" customFormat="1" ht="15" customHeight="1">
      <c r="A384" s="91"/>
      <c r="B384" s="92"/>
      <c r="C384" s="70"/>
      <c r="D384" s="88"/>
      <c r="E384" s="88"/>
      <c r="F384" s="87"/>
      <c r="G384" s="87"/>
      <c r="H384" s="87"/>
      <c r="I384" s="87"/>
      <c r="J384" s="87"/>
      <c r="K384" s="62"/>
    </row>
    <row r="385" spans="1:11" s="7" customFormat="1" ht="81.75" customHeight="1">
      <c r="A385" s="91" t="s">
        <v>434</v>
      </c>
      <c r="B385" s="92" t="s">
        <v>121</v>
      </c>
      <c r="C385" s="70">
        <f aca="true" t="shared" si="136" ref="C385:J385">SUM(C386)</f>
        <v>313.863</v>
      </c>
      <c r="D385" s="88">
        <f t="shared" si="136"/>
        <v>133.863</v>
      </c>
      <c r="E385" s="88">
        <f t="shared" si="136"/>
        <v>0</v>
      </c>
      <c r="F385" s="87">
        <f t="shared" si="136"/>
        <v>0</v>
      </c>
      <c r="G385" s="87">
        <f t="shared" si="136"/>
        <v>0</v>
      </c>
      <c r="H385" s="87">
        <f t="shared" si="136"/>
        <v>60</v>
      </c>
      <c r="I385" s="87">
        <f t="shared" si="136"/>
        <v>60</v>
      </c>
      <c r="J385" s="87">
        <f t="shared" si="136"/>
        <v>60</v>
      </c>
      <c r="K385" s="62" t="s">
        <v>169</v>
      </c>
    </row>
    <row r="386" spans="1:11" s="7" customFormat="1" ht="15" customHeight="1">
      <c r="A386" s="91" t="s">
        <v>435</v>
      </c>
      <c r="B386" s="92" t="s">
        <v>7</v>
      </c>
      <c r="C386" s="70">
        <f>SUM(D386:J386)</f>
        <v>313.863</v>
      </c>
      <c r="D386" s="88">
        <v>133.863</v>
      </c>
      <c r="E386" s="88">
        <v>0</v>
      </c>
      <c r="F386" s="87">
        <v>0</v>
      </c>
      <c r="G386" s="87">
        <v>0</v>
      </c>
      <c r="H386" s="87">
        <v>60</v>
      </c>
      <c r="I386" s="87">
        <v>60</v>
      </c>
      <c r="J386" s="87">
        <v>60</v>
      </c>
      <c r="K386" s="62"/>
    </row>
    <row r="387" spans="1:11" s="7" customFormat="1" ht="15" customHeight="1">
      <c r="A387" s="91"/>
      <c r="B387" s="92"/>
      <c r="C387" s="70"/>
      <c r="D387" s="88"/>
      <c r="E387" s="88"/>
      <c r="F387" s="87"/>
      <c r="G387" s="87"/>
      <c r="H387" s="87"/>
      <c r="I387" s="87"/>
      <c r="J387" s="87"/>
      <c r="K387" s="62"/>
    </row>
    <row r="388" spans="1:11" s="7" customFormat="1" ht="35.25" customHeight="1">
      <c r="A388" s="91" t="s">
        <v>436</v>
      </c>
      <c r="B388" s="92" t="s">
        <v>122</v>
      </c>
      <c r="C388" s="70">
        <f>SUM(D388:J388)</f>
        <v>310</v>
      </c>
      <c r="D388" s="88">
        <f>SUM(D389)</f>
        <v>80</v>
      </c>
      <c r="E388" s="88">
        <f aca="true" t="shared" si="137" ref="E388:J388">SUM(E389)</f>
        <v>80</v>
      </c>
      <c r="F388" s="87">
        <f t="shared" si="137"/>
        <v>0</v>
      </c>
      <c r="G388" s="87">
        <f t="shared" si="137"/>
        <v>0</v>
      </c>
      <c r="H388" s="87">
        <f t="shared" si="137"/>
        <v>50</v>
      </c>
      <c r="I388" s="87">
        <f t="shared" si="137"/>
        <v>50</v>
      </c>
      <c r="J388" s="87">
        <f t="shared" si="137"/>
        <v>50</v>
      </c>
      <c r="K388" s="62" t="s">
        <v>170</v>
      </c>
    </row>
    <row r="389" spans="1:11" s="7" customFormat="1" ht="15.75" customHeight="1">
      <c r="A389" s="86" t="s">
        <v>437</v>
      </c>
      <c r="B389" s="92" t="s">
        <v>7</v>
      </c>
      <c r="C389" s="70">
        <f>SUM(D389:J389)</f>
        <v>310</v>
      </c>
      <c r="D389" s="88">
        <v>80</v>
      </c>
      <c r="E389" s="88">
        <f>200-120</f>
        <v>80</v>
      </c>
      <c r="F389" s="87">
        <v>0</v>
      </c>
      <c r="G389" s="87">
        <v>0</v>
      </c>
      <c r="H389" s="87">
        <v>50</v>
      </c>
      <c r="I389" s="87">
        <v>50</v>
      </c>
      <c r="J389" s="87">
        <v>50</v>
      </c>
      <c r="K389" s="62"/>
    </row>
    <row r="390" spans="1:11" s="5" customFormat="1" ht="15.75" customHeight="1">
      <c r="A390" s="86"/>
      <c r="B390" s="92"/>
      <c r="C390" s="70"/>
      <c r="D390" s="88"/>
      <c r="E390" s="88"/>
      <c r="F390" s="87"/>
      <c r="G390" s="87"/>
      <c r="H390" s="87"/>
      <c r="I390" s="87"/>
      <c r="J390" s="87"/>
      <c r="K390" s="62"/>
    </row>
    <row r="391" spans="1:11" s="4" customFormat="1" ht="15" customHeight="1">
      <c r="A391" s="63"/>
      <c r="B391" s="64" t="s">
        <v>68</v>
      </c>
      <c r="C391" s="65"/>
      <c r="D391" s="65"/>
      <c r="E391" s="65"/>
      <c r="F391" s="65"/>
      <c r="G391" s="65"/>
      <c r="H391" s="65"/>
      <c r="I391" s="65"/>
      <c r="J391" s="65"/>
      <c r="K391" s="66"/>
    </row>
    <row r="392" spans="1:11" s="5" customFormat="1" ht="15">
      <c r="A392" s="91" t="s">
        <v>438</v>
      </c>
      <c r="B392" s="92" t="s">
        <v>69</v>
      </c>
      <c r="C392" s="70">
        <f>SUM(C393:C396)</f>
        <v>184195</v>
      </c>
      <c r="D392" s="88">
        <f>SUM(D393:D396)</f>
        <v>0</v>
      </c>
      <c r="E392" s="88">
        <f aca="true" t="shared" si="138" ref="E392:J392">SUM(E393:E396)</f>
        <v>24014</v>
      </c>
      <c r="F392" s="87">
        <f t="shared" si="138"/>
        <v>30767</v>
      </c>
      <c r="G392" s="87">
        <f t="shared" si="138"/>
        <v>34042</v>
      </c>
      <c r="H392" s="87">
        <f t="shared" si="138"/>
        <v>34360</v>
      </c>
      <c r="I392" s="87">
        <f t="shared" si="138"/>
        <v>34330</v>
      </c>
      <c r="J392" s="87">
        <f t="shared" si="138"/>
        <v>26682</v>
      </c>
      <c r="K392" s="62"/>
    </row>
    <row r="393" spans="1:11" s="5" customFormat="1" ht="15" customHeight="1">
      <c r="A393" s="91" t="s">
        <v>439</v>
      </c>
      <c r="B393" s="92" t="s">
        <v>7</v>
      </c>
      <c r="C393" s="70">
        <f>SUM(D393:J393)</f>
        <v>760</v>
      </c>
      <c r="D393" s="88">
        <f aca="true" t="shared" si="139" ref="D393:J393">SUM(D399+D405)</f>
        <v>0</v>
      </c>
      <c r="E393" s="88">
        <f t="shared" si="139"/>
        <v>0</v>
      </c>
      <c r="F393" s="87">
        <f t="shared" si="139"/>
        <v>0</v>
      </c>
      <c r="G393" s="87">
        <f t="shared" si="139"/>
        <v>0</v>
      </c>
      <c r="H393" s="87">
        <f t="shared" si="139"/>
        <v>140</v>
      </c>
      <c r="I393" s="87">
        <f t="shared" si="139"/>
        <v>110</v>
      </c>
      <c r="J393" s="87">
        <f t="shared" si="139"/>
        <v>510</v>
      </c>
      <c r="K393" s="62"/>
    </row>
    <row r="394" spans="1:11" s="5" customFormat="1" ht="15" customHeight="1">
      <c r="A394" s="91" t="s">
        <v>440</v>
      </c>
      <c r="B394" s="92" t="s">
        <v>8</v>
      </c>
      <c r="C394" s="70">
        <f>SUM(D394:J394)</f>
        <v>0</v>
      </c>
      <c r="D394" s="88"/>
      <c r="E394" s="88"/>
      <c r="F394" s="87"/>
      <c r="G394" s="87"/>
      <c r="H394" s="87"/>
      <c r="I394" s="87"/>
      <c r="J394" s="87"/>
      <c r="K394" s="62"/>
    </row>
    <row r="395" spans="1:11" s="5" customFormat="1" ht="15" customHeight="1">
      <c r="A395" s="91" t="s">
        <v>441</v>
      </c>
      <c r="B395" s="92" t="s">
        <v>9</v>
      </c>
      <c r="C395" s="70">
        <f>SUM(D395:J395)</f>
        <v>183435</v>
      </c>
      <c r="D395" s="88">
        <f>SUM(D407)</f>
        <v>0</v>
      </c>
      <c r="E395" s="88">
        <f aca="true" t="shared" si="140" ref="E395:J395">SUM(E407)</f>
        <v>24014</v>
      </c>
      <c r="F395" s="87">
        <f t="shared" si="140"/>
        <v>30767</v>
      </c>
      <c r="G395" s="87">
        <f t="shared" si="140"/>
        <v>34042</v>
      </c>
      <c r="H395" s="87">
        <f t="shared" si="140"/>
        <v>34220</v>
      </c>
      <c r="I395" s="87">
        <f t="shared" si="140"/>
        <v>34220</v>
      </c>
      <c r="J395" s="87">
        <f t="shared" si="140"/>
        <v>26172</v>
      </c>
      <c r="K395" s="62"/>
    </row>
    <row r="396" spans="1:11" s="5" customFormat="1" ht="15" customHeight="1">
      <c r="A396" s="91" t="s">
        <v>442</v>
      </c>
      <c r="B396" s="92" t="s">
        <v>10</v>
      </c>
      <c r="C396" s="70">
        <f>SUM(D396:J396)</f>
        <v>0</v>
      </c>
      <c r="D396" s="88"/>
      <c r="E396" s="88"/>
      <c r="F396" s="87"/>
      <c r="G396" s="87"/>
      <c r="H396" s="87"/>
      <c r="I396" s="87"/>
      <c r="J396" s="87"/>
      <c r="K396" s="62"/>
    </row>
    <row r="397" spans="1:11" s="5" customFormat="1" ht="15" customHeight="1">
      <c r="A397" s="63"/>
      <c r="B397" s="64" t="s">
        <v>11</v>
      </c>
      <c r="C397" s="65"/>
      <c r="D397" s="65"/>
      <c r="E397" s="65"/>
      <c r="F397" s="65"/>
      <c r="G397" s="65"/>
      <c r="H397" s="65"/>
      <c r="I397" s="65"/>
      <c r="J397" s="65"/>
      <c r="K397" s="66"/>
    </row>
    <row r="398" spans="1:11" s="5" customFormat="1" ht="21.75" customHeight="1">
      <c r="A398" s="91" t="s">
        <v>443</v>
      </c>
      <c r="B398" s="92" t="s">
        <v>32</v>
      </c>
      <c r="C398" s="70">
        <v>0</v>
      </c>
      <c r="D398" s="88"/>
      <c r="E398" s="88"/>
      <c r="F398" s="87"/>
      <c r="G398" s="87"/>
      <c r="H398" s="87"/>
      <c r="I398" s="87"/>
      <c r="J398" s="87"/>
      <c r="K398" s="62"/>
    </row>
    <row r="399" spans="1:11" s="5" customFormat="1" ht="15" customHeight="1">
      <c r="A399" s="91" t="s">
        <v>444</v>
      </c>
      <c r="B399" s="92" t="s">
        <v>7</v>
      </c>
      <c r="C399" s="70">
        <f>SUM(D399:J399)</f>
        <v>0</v>
      </c>
      <c r="D399" s="88"/>
      <c r="E399" s="88"/>
      <c r="F399" s="87"/>
      <c r="G399" s="87"/>
      <c r="H399" s="87"/>
      <c r="I399" s="87"/>
      <c r="J399" s="87"/>
      <c r="K399" s="62"/>
    </row>
    <row r="400" spans="1:11" s="5" customFormat="1" ht="15" customHeight="1">
      <c r="A400" s="63"/>
      <c r="B400" s="64" t="s">
        <v>12</v>
      </c>
      <c r="C400" s="65"/>
      <c r="D400" s="65"/>
      <c r="E400" s="65"/>
      <c r="F400" s="65"/>
      <c r="G400" s="65"/>
      <c r="H400" s="65"/>
      <c r="I400" s="65"/>
      <c r="J400" s="65"/>
      <c r="K400" s="66"/>
    </row>
    <row r="401" spans="1:11" s="5" customFormat="1" ht="48.75" customHeight="1">
      <c r="A401" s="91" t="s">
        <v>123</v>
      </c>
      <c r="B401" s="92" t="s">
        <v>101</v>
      </c>
      <c r="C401" s="70">
        <v>0</v>
      </c>
      <c r="D401" s="88"/>
      <c r="E401" s="88"/>
      <c r="F401" s="87"/>
      <c r="G401" s="87"/>
      <c r="H401" s="87"/>
      <c r="I401" s="87"/>
      <c r="J401" s="87"/>
      <c r="K401" s="62"/>
    </row>
    <row r="402" spans="1:11" s="5" customFormat="1" ht="15" customHeight="1">
      <c r="A402" s="91" t="s">
        <v>124</v>
      </c>
      <c r="B402" s="92" t="s">
        <v>7</v>
      </c>
      <c r="C402" s="70">
        <f>SUM(D402:J402)</f>
        <v>0</v>
      </c>
      <c r="D402" s="88"/>
      <c r="E402" s="88"/>
      <c r="F402" s="87"/>
      <c r="G402" s="87"/>
      <c r="H402" s="87"/>
      <c r="I402" s="87"/>
      <c r="J402" s="87"/>
      <c r="K402" s="62"/>
    </row>
    <row r="403" spans="1:11" s="5" customFormat="1" ht="15" customHeight="1">
      <c r="A403" s="63"/>
      <c r="B403" s="64" t="s">
        <v>15</v>
      </c>
      <c r="C403" s="65"/>
      <c r="D403" s="65"/>
      <c r="E403" s="65"/>
      <c r="F403" s="65"/>
      <c r="G403" s="65"/>
      <c r="H403" s="65"/>
      <c r="I403" s="65"/>
      <c r="J403" s="65"/>
      <c r="K403" s="66"/>
    </row>
    <row r="404" spans="1:11" s="5" customFormat="1" ht="15">
      <c r="A404" s="91" t="s">
        <v>125</v>
      </c>
      <c r="B404" s="92" t="s">
        <v>16</v>
      </c>
      <c r="C404" s="70">
        <f>SUM(B405:C407)</f>
        <v>184195</v>
      </c>
      <c r="D404" s="88">
        <v>0</v>
      </c>
      <c r="E404" s="88">
        <f aca="true" t="shared" si="141" ref="E404:J404">SUM(E405:E407)</f>
        <v>24014</v>
      </c>
      <c r="F404" s="87">
        <f t="shared" si="141"/>
        <v>30767</v>
      </c>
      <c r="G404" s="87">
        <f t="shared" si="141"/>
        <v>34042</v>
      </c>
      <c r="H404" s="87">
        <f t="shared" si="141"/>
        <v>34360</v>
      </c>
      <c r="I404" s="87">
        <f t="shared" si="141"/>
        <v>34330</v>
      </c>
      <c r="J404" s="87">
        <f t="shared" si="141"/>
        <v>26682</v>
      </c>
      <c r="K404" s="89"/>
    </row>
    <row r="405" spans="1:11" s="5" customFormat="1" ht="15" customHeight="1">
      <c r="A405" s="91" t="s">
        <v>126</v>
      </c>
      <c r="B405" s="92" t="s">
        <v>7</v>
      </c>
      <c r="C405" s="70">
        <f>SUM(D405:J405)</f>
        <v>760</v>
      </c>
      <c r="D405" s="88">
        <f>SUM(D413+D416+D419+D422)</f>
        <v>0</v>
      </c>
      <c r="E405" s="88">
        <f aca="true" t="shared" si="142" ref="E405:J405">SUM(E413+E416+E419+E422)</f>
        <v>0</v>
      </c>
      <c r="F405" s="87">
        <f t="shared" si="142"/>
        <v>0</v>
      </c>
      <c r="G405" s="87">
        <f t="shared" si="142"/>
        <v>0</v>
      </c>
      <c r="H405" s="87">
        <f t="shared" si="142"/>
        <v>140</v>
      </c>
      <c r="I405" s="87">
        <f t="shared" si="142"/>
        <v>110</v>
      </c>
      <c r="J405" s="87">
        <f t="shared" si="142"/>
        <v>510</v>
      </c>
      <c r="K405" s="89"/>
    </row>
    <row r="406" spans="1:11" s="5" customFormat="1" ht="15" customHeight="1">
      <c r="A406" s="91" t="s">
        <v>127</v>
      </c>
      <c r="B406" s="92" t="s">
        <v>8</v>
      </c>
      <c r="C406" s="70">
        <f>SUM(D406:J406)</f>
        <v>0</v>
      </c>
      <c r="D406" s="88">
        <v>0</v>
      </c>
      <c r="E406" s="88">
        <v>0</v>
      </c>
      <c r="F406" s="87">
        <v>0</v>
      </c>
      <c r="G406" s="87">
        <v>0</v>
      </c>
      <c r="H406" s="87">
        <v>0</v>
      </c>
      <c r="I406" s="87">
        <v>0</v>
      </c>
      <c r="J406" s="87">
        <v>0</v>
      </c>
      <c r="K406" s="62"/>
    </row>
    <row r="407" spans="1:11" s="5" customFormat="1" ht="15" customHeight="1">
      <c r="A407" s="91" t="s">
        <v>128</v>
      </c>
      <c r="B407" s="92" t="s">
        <v>9</v>
      </c>
      <c r="C407" s="70">
        <f>SUM(D407:J407)</f>
        <v>183435</v>
      </c>
      <c r="D407" s="88">
        <f aca="true" t="shared" si="143" ref="D407:J407">SUM(D410)</f>
        <v>0</v>
      </c>
      <c r="E407" s="88">
        <f t="shared" si="143"/>
        <v>24014</v>
      </c>
      <c r="F407" s="87">
        <f t="shared" si="143"/>
        <v>30767</v>
      </c>
      <c r="G407" s="87">
        <f t="shared" si="143"/>
        <v>34042</v>
      </c>
      <c r="H407" s="87">
        <f t="shared" si="143"/>
        <v>34220</v>
      </c>
      <c r="I407" s="87">
        <f t="shared" si="143"/>
        <v>34220</v>
      </c>
      <c r="J407" s="87">
        <f t="shared" si="143"/>
        <v>26172</v>
      </c>
      <c r="K407" s="62"/>
    </row>
    <row r="408" spans="1:11" s="5" customFormat="1" ht="15" customHeight="1">
      <c r="A408" s="91"/>
      <c r="B408" s="92"/>
      <c r="C408" s="70"/>
      <c r="D408" s="88"/>
      <c r="E408" s="88"/>
      <c r="F408" s="87"/>
      <c r="G408" s="87"/>
      <c r="H408" s="87"/>
      <c r="I408" s="87"/>
      <c r="J408" s="87"/>
      <c r="K408" s="62"/>
    </row>
    <row r="409" spans="1:11" s="7" customFormat="1" ht="61.5" customHeight="1">
      <c r="A409" s="91" t="s">
        <v>141</v>
      </c>
      <c r="B409" s="92" t="s">
        <v>70</v>
      </c>
      <c r="C409" s="87">
        <f aca="true" t="shared" si="144" ref="C409:J409">SUM(C410)</f>
        <v>183435</v>
      </c>
      <c r="D409" s="88">
        <f t="shared" si="144"/>
        <v>0</v>
      </c>
      <c r="E409" s="88">
        <f t="shared" si="144"/>
        <v>24014</v>
      </c>
      <c r="F409" s="87">
        <f t="shared" si="144"/>
        <v>30767</v>
      </c>
      <c r="G409" s="87">
        <f t="shared" si="144"/>
        <v>34042</v>
      </c>
      <c r="H409" s="87">
        <f t="shared" si="144"/>
        <v>34220</v>
      </c>
      <c r="I409" s="87">
        <f t="shared" si="144"/>
        <v>34220</v>
      </c>
      <c r="J409" s="87">
        <f t="shared" si="144"/>
        <v>26172</v>
      </c>
      <c r="K409" s="62" t="s">
        <v>163</v>
      </c>
    </row>
    <row r="410" spans="1:11" s="7" customFormat="1" ht="15.75" customHeight="1">
      <c r="A410" s="91" t="s">
        <v>142</v>
      </c>
      <c r="B410" s="92" t="s">
        <v>9</v>
      </c>
      <c r="C410" s="70">
        <f>SUM(D410:J410)</f>
        <v>183435</v>
      </c>
      <c r="D410" s="88">
        <v>0</v>
      </c>
      <c r="E410" s="88">
        <v>24014</v>
      </c>
      <c r="F410" s="87">
        <f>30767</f>
        <v>30767</v>
      </c>
      <c r="G410" s="87">
        <v>34042</v>
      </c>
      <c r="H410" s="87">
        <v>34220</v>
      </c>
      <c r="I410" s="87">
        <v>34220</v>
      </c>
      <c r="J410" s="87">
        <v>26172</v>
      </c>
      <c r="K410" s="62"/>
    </row>
    <row r="411" spans="1:11" s="7" customFormat="1" ht="15.75" customHeight="1">
      <c r="A411" s="91"/>
      <c r="B411" s="92"/>
      <c r="C411" s="70"/>
      <c r="D411" s="88"/>
      <c r="E411" s="88"/>
      <c r="F411" s="87"/>
      <c r="G411" s="87"/>
      <c r="H411" s="87"/>
      <c r="I411" s="87"/>
      <c r="J411" s="87"/>
      <c r="K411" s="62"/>
    </row>
    <row r="412" spans="1:11" s="7" customFormat="1" ht="50.25" customHeight="1">
      <c r="A412" s="86" t="s">
        <v>149</v>
      </c>
      <c r="B412" s="92" t="s">
        <v>199</v>
      </c>
      <c r="C412" s="70">
        <f>SUM(D412:J412)</f>
        <v>700</v>
      </c>
      <c r="D412" s="88">
        <f>SUM(D413)</f>
        <v>0</v>
      </c>
      <c r="E412" s="88">
        <f aca="true" t="shared" si="145" ref="E412:J412">SUM(E413)</f>
        <v>0</v>
      </c>
      <c r="F412" s="87">
        <f t="shared" si="145"/>
        <v>0</v>
      </c>
      <c r="G412" s="87">
        <f t="shared" si="145"/>
        <v>0</v>
      </c>
      <c r="H412" s="87">
        <f t="shared" si="145"/>
        <v>100</v>
      </c>
      <c r="I412" s="87">
        <f t="shared" si="145"/>
        <v>100</v>
      </c>
      <c r="J412" s="87">
        <f t="shared" si="145"/>
        <v>500</v>
      </c>
      <c r="K412" s="62" t="s">
        <v>173</v>
      </c>
    </row>
    <row r="413" spans="1:11" s="7" customFormat="1" ht="15.75" customHeight="1">
      <c r="A413" s="86" t="s">
        <v>150</v>
      </c>
      <c r="B413" s="92" t="s">
        <v>7</v>
      </c>
      <c r="C413" s="70">
        <f>SUM(D413:J413)</f>
        <v>700</v>
      </c>
      <c r="D413" s="88">
        <v>0</v>
      </c>
      <c r="E413" s="88">
        <v>0</v>
      </c>
      <c r="F413" s="87">
        <f>100-100</f>
        <v>0</v>
      </c>
      <c r="G413" s="87">
        <v>0</v>
      </c>
      <c r="H413" s="87">
        <v>100</v>
      </c>
      <c r="I413" s="87">
        <v>100</v>
      </c>
      <c r="J413" s="87">
        <v>500</v>
      </c>
      <c r="K413" s="62"/>
    </row>
    <row r="414" spans="1:11" s="7" customFormat="1" ht="15.75" customHeight="1">
      <c r="A414" s="86"/>
      <c r="B414" s="92"/>
      <c r="C414" s="70"/>
      <c r="D414" s="88"/>
      <c r="E414" s="88"/>
      <c r="F414" s="87"/>
      <c r="G414" s="87"/>
      <c r="H414" s="87"/>
      <c r="I414" s="87"/>
      <c r="J414" s="87"/>
      <c r="K414" s="62"/>
    </row>
    <row r="415" spans="1:11" s="7" customFormat="1" ht="65.25" customHeight="1">
      <c r="A415" s="86" t="s">
        <v>151</v>
      </c>
      <c r="B415" s="92" t="s">
        <v>200</v>
      </c>
      <c r="C415" s="70">
        <f>SUM(D415:J415)</f>
        <v>30</v>
      </c>
      <c r="D415" s="88">
        <f aca="true" t="shared" si="146" ref="D415:J415">SUM(D416)</f>
        <v>0</v>
      </c>
      <c r="E415" s="88">
        <f t="shared" si="146"/>
        <v>0</v>
      </c>
      <c r="F415" s="87">
        <f t="shared" si="146"/>
        <v>0</v>
      </c>
      <c r="G415" s="87">
        <f t="shared" si="146"/>
        <v>0</v>
      </c>
      <c r="H415" s="87">
        <f t="shared" si="146"/>
        <v>10</v>
      </c>
      <c r="I415" s="87">
        <f t="shared" si="146"/>
        <v>10</v>
      </c>
      <c r="J415" s="87">
        <f t="shared" si="146"/>
        <v>10</v>
      </c>
      <c r="K415" s="62" t="s">
        <v>171</v>
      </c>
    </row>
    <row r="416" spans="1:11" s="7" customFormat="1" ht="15.75" customHeight="1">
      <c r="A416" s="86" t="s">
        <v>447</v>
      </c>
      <c r="B416" s="92" t="s">
        <v>7</v>
      </c>
      <c r="C416" s="70">
        <f>SUM(D416:J416)</f>
        <v>30</v>
      </c>
      <c r="D416" s="88"/>
      <c r="E416" s="88"/>
      <c r="F416" s="87"/>
      <c r="G416" s="87"/>
      <c r="H416" s="87">
        <v>10</v>
      </c>
      <c r="I416" s="87">
        <v>10</v>
      </c>
      <c r="J416" s="87">
        <v>10</v>
      </c>
      <c r="K416" s="62"/>
    </row>
    <row r="417" spans="1:11" s="7" customFormat="1" ht="15.75" customHeight="1">
      <c r="A417" s="86"/>
      <c r="B417" s="92"/>
      <c r="C417" s="70"/>
      <c r="D417" s="88"/>
      <c r="E417" s="88"/>
      <c r="F417" s="87"/>
      <c r="G417" s="87"/>
      <c r="H417" s="87"/>
      <c r="I417" s="87"/>
      <c r="J417" s="87"/>
      <c r="K417" s="62"/>
    </row>
    <row r="418" spans="1:11" s="7" customFormat="1" ht="51" customHeight="1">
      <c r="A418" s="86" t="s">
        <v>456</v>
      </c>
      <c r="B418" s="92" t="s">
        <v>201</v>
      </c>
      <c r="C418" s="70">
        <v>0</v>
      </c>
      <c r="D418" s="88">
        <f aca="true" t="shared" si="147" ref="D418:J418">SUM(D419)</f>
        <v>0</v>
      </c>
      <c r="E418" s="88">
        <f t="shared" si="147"/>
        <v>0</v>
      </c>
      <c r="F418" s="87">
        <f t="shared" si="147"/>
        <v>0</v>
      </c>
      <c r="G418" s="87">
        <f t="shared" si="147"/>
        <v>0</v>
      </c>
      <c r="H418" s="87">
        <f t="shared" si="147"/>
        <v>0</v>
      </c>
      <c r="I418" s="87">
        <f t="shared" si="147"/>
        <v>0</v>
      </c>
      <c r="J418" s="87">
        <f t="shared" si="147"/>
        <v>0</v>
      </c>
      <c r="K418" s="62" t="s">
        <v>172</v>
      </c>
    </row>
    <row r="419" spans="1:11" s="7" customFormat="1" ht="15.75" customHeight="1">
      <c r="A419" s="86" t="s">
        <v>459</v>
      </c>
      <c r="B419" s="92" t="s">
        <v>7</v>
      </c>
      <c r="C419" s="70">
        <v>0</v>
      </c>
      <c r="D419" s="88"/>
      <c r="E419" s="88"/>
      <c r="F419" s="87"/>
      <c r="G419" s="87"/>
      <c r="H419" s="87"/>
      <c r="I419" s="87"/>
      <c r="J419" s="87"/>
      <c r="K419" s="62"/>
    </row>
    <row r="420" spans="1:11" s="7" customFormat="1" ht="15.75" customHeight="1">
      <c r="A420" s="86"/>
      <c r="B420" s="92"/>
      <c r="C420" s="70"/>
      <c r="D420" s="88"/>
      <c r="E420" s="88"/>
      <c r="F420" s="87"/>
      <c r="G420" s="87"/>
      <c r="H420" s="87"/>
      <c r="I420" s="87"/>
      <c r="J420" s="87"/>
      <c r="K420" s="62"/>
    </row>
    <row r="421" spans="1:11" s="7" customFormat="1" ht="66.75" customHeight="1">
      <c r="A421" s="86" t="s">
        <v>460</v>
      </c>
      <c r="B421" s="92" t="s">
        <v>202</v>
      </c>
      <c r="C421" s="70">
        <f>SUM(D421:J421)</f>
        <v>30</v>
      </c>
      <c r="D421" s="88">
        <f aca="true" t="shared" si="148" ref="D421:J421">SUM(D422)</f>
        <v>0</v>
      </c>
      <c r="E421" s="88">
        <f t="shared" si="148"/>
        <v>0</v>
      </c>
      <c r="F421" s="87">
        <f t="shared" si="148"/>
        <v>0</v>
      </c>
      <c r="G421" s="87">
        <f t="shared" si="148"/>
        <v>0</v>
      </c>
      <c r="H421" s="87">
        <f t="shared" si="148"/>
        <v>30</v>
      </c>
      <c r="I421" s="87">
        <f t="shared" si="148"/>
        <v>0</v>
      </c>
      <c r="J421" s="87">
        <f t="shared" si="148"/>
        <v>0</v>
      </c>
      <c r="K421" s="62" t="s">
        <v>173</v>
      </c>
    </row>
    <row r="422" spans="1:11" s="7" customFormat="1" ht="15.75" customHeight="1">
      <c r="A422" s="86" t="s">
        <v>461</v>
      </c>
      <c r="B422" s="92" t="s">
        <v>7</v>
      </c>
      <c r="C422" s="70">
        <f>SUM(D422:J422)</f>
        <v>30</v>
      </c>
      <c r="D422" s="87"/>
      <c r="E422" s="87"/>
      <c r="F422" s="87"/>
      <c r="G422" s="87"/>
      <c r="H422" s="87">
        <v>30</v>
      </c>
      <c r="I422" s="87"/>
      <c r="J422" s="87"/>
      <c r="K422" s="62"/>
    </row>
    <row r="424" ht="12.75" customHeight="1" hidden="1">
      <c r="C424" s="3" t="s">
        <v>43</v>
      </c>
    </row>
    <row r="425" spans="2:11" ht="12.75" customHeight="1" hidden="1">
      <c r="B425" s="19" t="s">
        <v>44</v>
      </c>
      <c r="C425" s="8">
        <f aca="true" t="shared" si="149" ref="C425:C430">SUM(D425:J425)</f>
        <v>4935745.77919</v>
      </c>
      <c r="D425" s="20">
        <f aca="true" t="shared" si="150" ref="D425:J425">SUM(D15)</f>
        <v>707299.138</v>
      </c>
      <c r="E425" s="20">
        <f t="shared" si="150"/>
        <v>713636.937</v>
      </c>
      <c r="F425" s="14">
        <f t="shared" si="150"/>
        <v>704438.8596000001</v>
      </c>
      <c r="G425" s="20">
        <f t="shared" si="150"/>
        <v>703585.34459</v>
      </c>
      <c r="H425" s="20">
        <f t="shared" si="150"/>
        <v>698008.4</v>
      </c>
      <c r="I425" s="20">
        <f t="shared" si="150"/>
        <v>699840.2</v>
      </c>
      <c r="J425" s="20">
        <f t="shared" si="150"/>
        <v>708936.9</v>
      </c>
      <c r="K425" s="36"/>
    </row>
    <row r="426" spans="2:11" ht="12.75" customHeight="1" hidden="1">
      <c r="B426" s="21" t="s">
        <v>45</v>
      </c>
      <c r="C426" s="22">
        <f t="shared" si="149"/>
        <v>36798.448000000004</v>
      </c>
      <c r="D426" s="23">
        <f>SUM(D197+D226+D232)</f>
        <v>36798.448000000004</v>
      </c>
      <c r="E426" s="23">
        <f aca="true" t="shared" si="151" ref="E426:J426">SUM(E197+E226)</f>
        <v>0</v>
      </c>
      <c r="F426" s="51">
        <f t="shared" si="151"/>
        <v>0</v>
      </c>
      <c r="G426" s="23">
        <f t="shared" si="151"/>
        <v>0</v>
      </c>
      <c r="H426" s="23">
        <f t="shared" si="151"/>
        <v>0</v>
      </c>
      <c r="I426" s="23">
        <f t="shared" si="151"/>
        <v>0</v>
      </c>
      <c r="J426" s="23">
        <f t="shared" si="151"/>
        <v>0</v>
      </c>
      <c r="K426" s="34"/>
    </row>
    <row r="427" spans="2:11" ht="12.75" customHeight="1" hidden="1">
      <c r="B427" s="21" t="s">
        <v>61</v>
      </c>
      <c r="C427" s="22">
        <f t="shared" si="149"/>
        <v>57099.123</v>
      </c>
      <c r="D427" s="23">
        <f aca="true" t="shared" si="152" ref="D427:J427">SUM(D40)</f>
        <v>49099.123</v>
      </c>
      <c r="E427" s="23">
        <f t="shared" si="152"/>
        <v>0</v>
      </c>
      <c r="F427" s="51">
        <f t="shared" si="152"/>
        <v>0</v>
      </c>
      <c r="G427" s="23">
        <f t="shared" si="152"/>
        <v>8000</v>
      </c>
      <c r="H427" s="23">
        <f t="shared" si="152"/>
        <v>0</v>
      </c>
      <c r="I427" s="23">
        <f t="shared" si="152"/>
        <v>0</v>
      </c>
      <c r="J427" s="23">
        <f t="shared" si="152"/>
        <v>0</v>
      </c>
      <c r="K427" s="34"/>
    </row>
    <row r="428" spans="2:11" ht="12.75" customHeight="1" hidden="1">
      <c r="B428" s="21" t="s">
        <v>62</v>
      </c>
      <c r="C428" s="22">
        <f t="shared" si="149"/>
        <v>3103.2219999999998</v>
      </c>
      <c r="D428" s="23">
        <f aca="true" t="shared" si="153" ref="D428:J428">SUM(D107)</f>
        <v>2207</v>
      </c>
      <c r="E428" s="23">
        <f t="shared" si="153"/>
        <v>896.222</v>
      </c>
      <c r="F428" s="51">
        <f t="shared" si="153"/>
        <v>0</v>
      </c>
      <c r="G428" s="23">
        <f t="shared" si="153"/>
        <v>0</v>
      </c>
      <c r="H428" s="23">
        <f t="shared" si="153"/>
        <v>0</v>
      </c>
      <c r="I428" s="23">
        <f t="shared" si="153"/>
        <v>0</v>
      </c>
      <c r="J428" s="23">
        <f t="shared" si="153"/>
        <v>0</v>
      </c>
      <c r="K428" s="34"/>
    </row>
    <row r="429" spans="2:11" ht="12.75" customHeight="1" hidden="1">
      <c r="B429" s="21" t="s">
        <v>49</v>
      </c>
      <c r="C429" s="22">
        <f t="shared" si="149"/>
        <v>291697.4</v>
      </c>
      <c r="D429" s="23">
        <f aca="true" t="shared" si="154" ref="D429:J429">SUM(D19)</f>
        <v>35197.4</v>
      </c>
      <c r="E429" s="23">
        <f t="shared" si="154"/>
        <v>38000</v>
      </c>
      <c r="F429" s="51">
        <f t="shared" si="154"/>
        <v>41700</v>
      </c>
      <c r="G429" s="23">
        <f t="shared" si="154"/>
        <v>44200</v>
      </c>
      <c r="H429" s="23">
        <f t="shared" si="154"/>
        <v>44200</v>
      </c>
      <c r="I429" s="23">
        <f t="shared" si="154"/>
        <v>44200</v>
      </c>
      <c r="J429" s="23">
        <f t="shared" si="154"/>
        <v>44200</v>
      </c>
      <c r="K429" s="34"/>
    </row>
    <row r="430" spans="2:11" ht="12.75" customHeight="1" hidden="1">
      <c r="B430" s="24"/>
      <c r="C430" s="22">
        <f t="shared" si="149"/>
        <v>0</v>
      </c>
      <c r="D430" s="23"/>
      <c r="E430" s="23"/>
      <c r="F430" s="51"/>
      <c r="G430" s="23"/>
      <c r="H430" s="23"/>
      <c r="I430" s="23"/>
      <c r="J430" s="23"/>
      <c r="K430" s="34"/>
    </row>
    <row r="431" spans="2:11" ht="12.75" customHeight="1" hidden="1">
      <c r="B431" s="42"/>
      <c r="C431" s="8"/>
      <c r="D431" s="17"/>
      <c r="E431" s="17"/>
      <c r="F431" s="18"/>
      <c r="G431" s="17"/>
      <c r="H431" s="17"/>
      <c r="I431" s="17"/>
      <c r="J431" s="17"/>
      <c r="K431" s="34"/>
    </row>
    <row r="432" spans="2:11" ht="12.75" customHeight="1" hidden="1">
      <c r="B432" s="25" t="s">
        <v>46</v>
      </c>
      <c r="C432" s="26">
        <f>SUM(D432:J432)</f>
        <v>1400</v>
      </c>
      <c r="D432" s="27">
        <v>400</v>
      </c>
      <c r="E432" s="28">
        <v>500</v>
      </c>
      <c r="F432" s="28">
        <v>500</v>
      </c>
      <c r="G432" s="28"/>
      <c r="H432" s="28"/>
      <c r="I432" s="28"/>
      <c r="J432" s="28"/>
      <c r="K432" s="34"/>
    </row>
    <row r="433" spans="2:11" ht="25.5" customHeight="1" hidden="1">
      <c r="B433" s="31" t="s">
        <v>56</v>
      </c>
      <c r="C433" s="26">
        <f>SUM(D433:J433)</f>
        <v>199.6</v>
      </c>
      <c r="D433" s="27">
        <v>99.6</v>
      </c>
      <c r="E433" s="28">
        <v>24</v>
      </c>
      <c r="F433" s="28">
        <v>76</v>
      </c>
      <c r="G433" s="28"/>
      <c r="H433" s="28"/>
      <c r="I433" s="28"/>
      <c r="J433" s="28"/>
      <c r="K433" s="34"/>
    </row>
    <row r="434" spans="2:11" ht="12.75" customHeight="1" hidden="1">
      <c r="B434" s="25" t="s">
        <v>47</v>
      </c>
      <c r="C434" s="26">
        <f>SUM(D434:J434)</f>
        <v>735</v>
      </c>
      <c r="D434" s="27">
        <f>243.2+248.6</f>
        <v>491.79999999999995</v>
      </c>
      <c r="E434" s="28"/>
      <c r="F434" s="28">
        <v>243.2</v>
      </c>
      <c r="G434" s="28"/>
      <c r="H434" s="28"/>
      <c r="I434" s="28"/>
      <c r="J434" s="28"/>
      <c r="K434" s="34"/>
    </row>
    <row r="435" spans="2:11" ht="25.5" customHeight="1" hidden="1">
      <c r="B435" s="31" t="s">
        <v>55</v>
      </c>
      <c r="C435" s="26">
        <f>SUM(D435:J435)</f>
        <v>390</v>
      </c>
      <c r="D435" s="27">
        <v>390</v>
      </c>
      <c r="E435" s="28"/>
      <c r="F435" s="28"/>
      <c r="G435" s="28"/>
      <c r="H435" s="28"/>
      <c r="I435" s="28"/>
      <c r="J435" s="28"/>
      <c r="K435" s="34"/>
    </row>
    <row r="436" spans="2:11" ht="25.5" customHeight="1" hidden="1">
      <c r="B436" s="31" t="s">
        <v>54</v>
      </c>
      <c r="C436" s="26">
        <f>SUM(D436:J436)</f>
        <v>14953</v>
      </c>
      <c r="D436" s="27">
        <f>8343+6610</f>
        <v>14953</v>
      </c>
      <c r="E436" s="28"/>
      <c r="F436" s="28"/>
      <c r="G436" s="28"/>
      <c r="H436" s="28"/>
      <c r="I436" s="28"/>
      <c r="J436" s="28"/>
      <c r="K436" s="34"/>
    </row>
    <row r="437" spans="2:11" ht="12.75" customHeight="1" hidden="1">
      <c r="B437" s="42"/>
      <c r="C437" s="8"/>
      <c r="D437" s="17"/>
      <c r="E437" s="18"/>
      <c r="F437" s="18"/>
      <c r="G437" s="18"/>
      <c r="H437" s="18"/>
      <c r="I437" s="18"/>
      <c r="J437" s="18"/>
      <c r="K437" s="34"/>
    </row>
    <row r="438" spans="2:11" ht="12.75" customHeight="1" hidden="1">
      <c r="B438" s="42" t="s">
        <v>53</v>
      </c>
      <c r="C438" s="8">
        <f>SUM(D438:J438)</f>
        <v>4564725.186190001</v>
      </c>
      <c r="D438" s="17">
        <f>SUM(D425-D426-D427-D428-D429-D430+D432+D433+D434+D435+D436)</f>
        <v>600331.567</v>
      </c>
      <c r="E438" s="17">
        <f aca="true" t="shared" si="155" ref="E438:J438">SUM(E425-E426-E427-E428-E429-E430+E432+E433+E434+E435+E436)</f>
        <v>675264.7150000001</v>
      </c>
      <c r="F438" s="18">
        <f t="shared" si="155"/>
        <v>663558.0596</v>
      </c>
      <c r="G438" s="17">
        <f t="shared" si="155"/>
        <v>651385.34459</v>
      </c>
      <c r="H438" s="17">
        <f t="shared" si="155"/>
        <v>653808.4</v>
      </c>
      <c r="I438" s="17">
        <f t="shared" si="155"/>
        <v>655640.2</v>
      </c>
      <c r="J438" s="17">
        <f t="shared" si="155"/>
        <v>664736.9</v>
      </c>
      <c r="K438" s="34"/>
    </row>
    <row r="439" spans="1:11" s="3" customFormat="1" ht="38.25" customHeight="1" hidden="1">
      <c r="A439" s="48"/>
      <c r="B439" s="40" t="s">
        <v>60</v>
      </c>
      <c r="C439" s="8">
        <f>SUM(D439:J439)</f>
        <v>1879872.9599999997</v>
      </c>
      <c r="D439" s="20">
        <f>577370.1-1100+1148+877+1245.1+750+390+248.6+8343+6610+3606.7+210.16-1207+657.7+6741-9304-896</f>
        <v>595690.3599999999</v>
      </c>
      <c r="E439" s="20">
        <f>609594.9+5000+930</f>
        <v>615524.9</v>
      </c>
      <c r="F439" s="14">
        <f>662674.7+5000+983</f>
        <v>668657.7</v>
      </c>
      <c r="G439" s="20"/>
      <c r="H439" s="20"/>
      <c r="I439" s="20"/>
      <c r="J439" s="20"/>
      <c r="K439" s="36"/>
    </row>
    <row r="440" spans="1:11" s="29" customFormat="1" ht="12.75" customHeight="1" hidden="1">
      <c r="A440" s="48"/>
      <c r="B440" s="42" t="s">
        <v>48</v>
      </c>
      <c r="C440" s="45">
        <f>SUM(D440:J440)</f>
        <v>2684852.2261900003</v>
      </c>
      <c r="D440" s="30">
        <f aca="true" t="shared" si="156" ref="D440:J440">D438-D439</f>
        <v>4641.2070000001695</v>
      </c>
      <c r="E440" s="30">
        <f t="shared" si="156"/>
        <v>59739.81500000006</v>
      </c>
      <c r="F440" s="12">
        <f t="shared" si="156"/>
        <v>-5099.640399999917</v>
      </c>
      <c r="G440" s="30">
        <f t="shared" si="156"/>
        <v>651385.34459</v>
      </c>
      <c r="H440" s="30">
        <f t="shared" si="156"/>
        <v>653808.4</v>
      </c>
      <c r="I440" s="30">
        <f t="shared" si="156"/>
        <v>655640.2</v>
      </c>
      <c r="J440" s="30">
        <f t="shared" si="156"/>
        <v>664736.9</v>
      </c>
      <c r="K440" s="35"/>
    </row>
    <row r="441" ht="12.75" customHeight="1" hidden="1"/>
    <row r="442" ht="12.75" customHeight="1" hidden="1"/>
    <row r="443" spans="2:3" ht="12.75" customHeight="1" hidden="1">
      <c r="B443" s="39" t="s">
        <v>50</v>
      </c>
      <c r="C443" s="3" t="s">
        <v>51</v>
      </c>
    </row>
    <row r="444" ht="12.75" customHeight="1" hidden="1"/>
    <row r="445" ht="12.75" customHeight="1" hidden="1">
      <c r="B445" s="41" t="s">
        <v>59</v>
      </c>
    </row>
    <row r="446" ht="12.75" customHeight="1" hidden="1"/>
    <row r="447" ht="12.75" customHeight="1" hidden="1"/>
  </sheetData>
  <sheetProtection/>
  <mergeCells count="42">
    <mergeCell ref="A10:K10"/>
    <mergeCell ref="B33:K33"/>
    <mergeCell ref="A12:A14"/>
    <mergeCell ref="K12:K14"/>
    <mergeCell ref="H1:K1"/>
    <mergeCell ref="H2:K2"/>
    <mergeCell ref="H3:K3"/>
    <mergeCell ref="H4:K4"/>
    <mergeCell ref="H5:K5"/>
    <mergeCell ref="B45:K45"/>
    <mergeCell ref="B63:K63"/>
    <mergeCell ref="B39:K39"/>
    <mergeCell ref="H6:K6"/>
    <mergeCell ref="H7:K7"/>
    <mergeCell ref="C12:J12"/>
    <mergeCell ref="A8:K8"/>
    <mergeCell ref="A9:K9"/>
    <mergeCell ref="C13:C14"/>
    <mergeCell ref="B12:B14"/>
    <mergeCell ref="B348:K348"/>
    <mergeCell ref="B303:K303"/>
    <mergeCell ref="B150:K150"/>
    <mergeCell ref="B309:K309"/>
    <mergeCell ref="B312:K312"/>
    <mergeCell ref="B139:K139"/>
    <mergeCell ref="B315:K315"/>
    <mergeCell ref="B403:K403"/>
    <mergeCell ref="B133:K133"/>
    <mergeCell ref="B165:K165"/>
    <mergeCell ref="B274:K274"/>
    <mergeCell ref="B279:K279"/>
    <mergeCell ref="B284:K284"/>
    <mergeCell ref="B293:K293"/>
    <mergeCell ref="B342:K342"/>
    <mergeCell ref="B397:K397"/>
    <mergeCell ref="B400:K400"/>
    <mergeCell ref="B360:K360"/>
    <mergeCell ref="B391:K391"/>
    <mergeCell ref="B336:K336"/>
    <mergeCell ref="B70:K70"/>
    <mergeCell ref="B127:K127"/>
    <mergeCell ref="B352:K352"/>
  </mergeCells>
  <printOptions/>
  <pageMargins left="0.3937007874015748" right="0.15748031496062992" top="0.5118110236220472" bottom="0.15748031496062992" header="0.31496062992125984" footer="0.15748031496062992"/>
  <pageSetup firstPageNumber="3" useFirstPageNumber="1" horizontalDpi="600" verticalDpi="600" orientation="landscape" paperSize="9" scale="66" r:id="rId1"/>
  <headerFooter>
    <oddHeader>&amp;C &amp;P</oddHeader>
  </headerFooter>
  <rowBreaks count="13" manualBreakCount="13">
    <brk id="44" max="10" man="1"/>
    <brk id="85" max="10" man="1"/>
    <brk id="107" max="10" man="1"/>
    <brk id="144" max="10" man="1"/>
    <brk id="180" max="10" man="1"/>
    <brk id="216" max="10" man="1"/>
    <brk id="247" max="10" man="1"/>
    <brk id="282" max="10" man="1"/>
    <brk id="314" max="10" man="1"/>
    <brk id="341" max="10" man="1"/>
    <brk id="371" max="10" man="1"/>
    <brk id="402" max="10" man="1"/>
    <brk id="4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2017-08-09T04:30:40Z</cp:lastPrinted>
  <dcterms:created xsi:type="dcterms:W3CDTF">2013-10-08T11:20:39Z</dcterms:created>
  <dcterms:modified xsi:type="dcterms:W3CDTF">2017-08-09T04:30:56Z</dcterms:modified>
  <cp:category/>
  <cp:version/>
  <cp:contentType/>
  <cp:contentStatus/>
</cp:coreProperties>
</file>