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5480" windowHeight="8010" activeTab="0"/>
  </bookViews>
  <sheets>
    <sheet name="План мероприятий 2" sheetId="1" r:id="rId1"/>
  </sheets>
  <definedNames>
    <definedName name="_xlnm.Print_Titles" localSheetId="0">'План мероприятий 2'!$13:$15</definedName>
    <definedName name="_xlnm.Print_Area" localSheetId="0">'План мероприятий 2'!$A$1:$J$197</definedName>
  </definedNames>
  <calcPr fullCalcOnLoad="1"/>
</workbook>
</file>

<file path=xl/sharedStrings.xml><?xml version="1.0" encoding="utf-8"?>
<sst xmlns="http://schemas.openxmlformats.org/spreadsheetml/2006/main" count="188" uniqueCount="97">
  <si>
    <t>№ строки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</si>
  <si>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</si>
  <si>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</si>
  <si>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</si>
  <si>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</si>
  <si>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</si>
  <si>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</si>
  <si>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</si>
  <si>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</si>
  <si>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</si>
  <si>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</si>
  <si>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</si>
  <si>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</si>
  <si>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</si>
  <si>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</si>
  <si>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</si>
  <si>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</si>
  <si>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</si>
  <si>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</si>
  <si>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</si>
  <si>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</si>
  <si>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</si>
  <si>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</si>
  <si>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</si>
  <si>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</si>
  <si>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</si>
  <si>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</si>
  <si>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</si>
  <si>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</si>
  <si>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</si>
  <si>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</si>
  <si>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</si>
  <si>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</si>
  <si>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</si>
  <si>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</si>
  <si>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</si>
  <si>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</si>
  <si>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</si>
  <si>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</si>
  <si>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</si>
  <si>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</si>
  <si>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</si>
  <si>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</si>
  <si>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</si>
  <si>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</si>
  <si>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</si>
  <si>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</si>
  <si>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</si>
  <si>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</si>
  <si>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</si>
  <si>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</si>
  <si>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</si>
  <si>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</si>
  <si>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</si>
  <si>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</si>
  <si>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</si>
  <si>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</si>
  <si>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</si>
  <si>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</si>
  <si>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</si>
  <si>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</si>
  <si>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</si>
  <si>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</si>
  <si>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</si>
  <si>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</si>
  <si>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</si>
  <si>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</si>
  <si>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</si>
  <si>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</si>
  <si>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</si>
  <si>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</si>
  <si>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</si>
  <si>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t>Мероприятие 26.                                                                                                                           Осуществление спортивной подготовки, всего, в том числе:</t>
  </si>
  <si>
    <t>33-1</t>
  </si>
  <si>
    <t>13, 13-4</t>
  </si>
  <si>
    <t>44, 44-1</t>
  </si>
  <si>
    <t>Мероприятие 29.                                                                                                             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инфекции, всего, в том числе:</t>
  </si>
  <si>
    <t>40-2</t>
  </si>
  <si>
    <t>Мероприятие 30.                                                                                                                           Ежемесячное денежное вознаграждение за классное руководство педагогическим работникам общеобразовательных организаций, всего, в том числе:</t>
  </si>
  <si>
    <t>Мероприятие 31.                                     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организациях, всего, в том числе:</t>
  </si>
  <si>
    <t>местный бюджет за рамками софинансирования, предусмотренного Соглашением от 04.03.2020 № 694</t>
  </si>
  <si>
    <t>35-2</t>
  </si>
  <si>
    <t>21-1</t>
  </si>
  <si>
    <t>по выполнению муниципальной программы Североуральского городского округа</t>
  </si>
  <si>
    <t>Мероприятие 27.                                                                                                              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всего, в том числе:</t>
  </si>
  <si>
    <t>12, 12-1, 12-2, 13</t>
  </si>
  <si>
    <t xml:space="preserve">Мероприятие 9.                                                                                                Создание безопасных условий пребывания в муниципальных организациях отдыха детей и их оздоровления, всего, в том числе: </t>
  </si>
  <si>
    <t>Мероприятие 32.                                                                                                                           Создание в муниципальных общеобразовательных организациях условий для организации горячего питания обучающихся, всего, в том числе:</t>
  </si>
  <si>
    <t>21-2</t>
  </si>
  <si>
    <t>Мероприятие 28.                                                                                                                           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всего, в том числе:</t>
  </si>
  <si>
    <t>Мероприятие 25.                                                                                                                           Мероприятия, проводимые в рамках федерального проекта "Успех каждого ребенка" национального проекта "Образование", утвержденного протоколом президиума Совета при Президенте Российской Федерации по стратегическому развитию и национальным проектам от 24 декабря 2018 г. N 16 и оказание автономным/бюджетным учреждением образовательных услуг в рамках системы персонифицированного финансирования в качестве исполнителя образовательных услуг в соответствии с Положением  о персонифицированном дополнительном образовании детей в муниципальном образовании, всего, в том числе:</t>
  </si>
  <si>
    <t>местный бюджет за рамками софинансирования, предусмотренного Соглашением от 21.01.2022 № 144</t>
  </si>
  <si>
    <t>местный бюджет за рамками софинансирования, предусмотренного Соглашением от 10.02.2022 № 553</t>
  </si>
  <si>
    <t>35-4</t>
  </si>
  <si>
    <t>Мероприятие 33.                                                                                                             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всего, в том числе:</t>
  </si>
  <si>
    <t>Мероприятие 20.                                                                               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работы, всего, в том числе:</t>
  </si>
  <si>
    <t>от  27.01.2023  №  104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</si>
</sst>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57">
    <font>
      <sz val="10"/>
      <name val="Arial Cyr"/>
      <family val="0"/>
    </font>
    <font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name val="PT Astra Serif"/>
      <family val="1"/>
    </font>
    <font>
      <b/>
      <sz val="12"/>
      <color indexed="12"/>
      <name val="PT Astra Serif"/>
      <family val="1"/>
    </font>
    <font>
      <sz val="12"/>
      <color indexed="12"/>
      <name val="PT Astra Serif"/>
      <family val="1"/>
    </font>
    <font>
      <b/>
      <sz val="12"/>
      <color indexed="8"/>
      <name val="PT Astra Serif"/>
      <family val="1"/>
    </font>
    <font>
      <b/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PT Astra Serif"/>
      <family val="1"/>
    </font>
    <font>
      <b/>
      <sz val="16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PT Astra Serif"/>
      <family val="1"/>
    </font>
    <font>
      <sz val="12"/>
      <color rgb="FF0000FF"/>
      <name val="PT Astra Serif"/>
      <family val="1"/>
    </font>
    <font>
      <b/>
      <sz val="16"/>
      <color rgb="FFFF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2" fontId="4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8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8" fontId="6" fillId="0" borderId="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182" fontId="9" fillId="33" borderId="13" xfId="0" applyNumberFormat="1" applyFont="1" applyFill="1" applyBorder="1" applyAlignment="1">
      <alignment horizontal="right" vertical="center" wrapText="1"/>
    </xf>
    <xf numFmtId="182" fontId="9" fillId="34" borderId="13" xfId="0" applyNumberFormat="1" applyFont="1" applyFill="1" applyBorder="1" applyAlignment="1">
      <alignment horizontal="right" vertical="center" wrapText="1"/>
    </xf>
    <xf numFmtId="182" fontId="9" fillId="34" borderId="14" xfId="0" applyNumberFormat="1" applyFont="1" applyFill="1" applyBorder="1" applyAlignment="1">
      <alignment horizontal="right" vertical="center" wrapText="1"/>
    </xf>
    <xf numFmtId="177" fontId="10" fillId="34" borderId="13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Alignment="1">
      <alignment horizontal="center" vertical="center" wrapText="1"/>
    </xf>
    <xf numFmtId="182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182" fontId="9" fillId="0" borderId="13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2" fontId="9" fillId="0" borderId="14" xfId="0" applyNumberFormat="1" applyFont="1" applyFill="1" applyBorder="1" applyAlignment="1">
      <alignment horizontal="right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82" fontId="11" fillId="0" borderId="0" xfId="0" applyNumberFormat="1" applyFont="1" applyAlignment="1">
      <alignment horizontal="center" vertical="center" wrapText="1"/>
    </xf>
    <xf numFmtId="18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2" fontId="4" fillId="0" borderId="13" xfId="0" applyNumberFormat="1" applyFont="1" applyBorder="1" applyAlignment="1">
      <alignment horizontal="right" vertical="center" wrapText="1"/>
    </xf>
    <xf numFmtId="182" fontId="4" fillId="0" borderId="13" xfId="0" applyNumberFormat="1" applyFont="1" applyFill="1" applyBorder="1" applyAlignment="1">
      <alignment horizontal="right" vertical="center" wrapText="1"/>
    </xf>
    <xf numFmtId="182" fontId="4" fillId="0" borderId="14" xfId="0" applyNumberFormat="1" applyFont="1" applyFill="1" applyBorder="1" applyAlignment="1">
      <alignment horizontal="right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left" vertical="center" wrapText="1"/>
    </xf>
    <xf numFmtId="182" fontId="9" fillId="35" borderId="13" xfId="0" applyNumberFormat="1" applyFont="1" applyFill="1" applyBorder="1" applyAlignment="1">
      <alignment horizontal="right" vertical="center" wrapText="1"/>
    </xf>
    <xf numFmtId="182" fontId="9" fillId="36" borderId="13" xfId="0" applyNumberFormat="1" applyFont="1" applyFill="1" applyBorder="1" applyAlignment="1">
      <alignment horizontal="right" vertical="center" wrapText="1"/>
    </xf>
    <xf numFmtId="182" fontId="9" fillId="36" borderId="14" xfId="0" applyNumberFormat="1" applyFont="1" applyFill="1" applyBorder="1" applyAlignment="1">
      <alignment horizontal="right" vertical="center" wrapText="1"/>
    </xf>
    <xf numFmtId="177" fontId="10" fillId="36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13" xfId="0" applyNumberFormat="1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182" fontId="3" fillId="0" borderId="15" xfId="0" applyNumberFormat="1" applyFont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182" fontId="3" fillId="0" borderId="16" xfId="0" applyNumberFormat="1" applyFont="1" applyFill="1" applyBorder="1" applyAlignment="1">
      <alignment horizontal="right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2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" fillId="0" borderId="13" xfId="0" applyNumberFormat="1" applyFont="1" applyBorder="1" applyAlignment="1">
      <alignment horizontal="center" vertical="center" wrapText="1"/>
    </xf>
    <xf numFmtId="18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82" fontId="2" fillId="4" borderId="13" xfId="0" applyNumberFormat="1" applyFont="1" applyFill="1" applyBorder="1" applyAlignment="1">
      <alignment horizontal="right" vertical="center" wrapText="1"/>
    </xf>
    <xf numFmtId="182" fontId="2" fillId="0" borderId="15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2" fontId="2" fillId="0" borderId="16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82" fontId="3" fillId="0" borderId="13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2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left" vertical="center" wrapText="1"/>
    </xf>
    <xf numFmtId="18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182" fontId="55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82" fontId="4" fillId="0" borderId="0" xfId="0" applyNumberFormat="1" applyFont="1" applyFill="1" applyAlignment="1">
      <alignment wrapText="1"/>
    </xf>
    <xf numFmtId="182" fontId="1" fillId="0" borderId="0" xfId="0" applyNumberFormat="1" applyFont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82" fontId="3" fillId="33" borderId="14" xfId="0" applyNumberFormat="1" applyFont="1" applyFill="1" applyBorder="1" applyAlignment="1">
      <alignment horizontal="center" vertical="center" wrapText="1"/>
    </xf>
    <xf numFmtId="182" fontId="3" fillId="33" borderId="16" xfId="0" applyNumberFormat="1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>
      <alignment horizontal="center" vertical="center" wrapText="1"/>
    </xf>
    <xf numFmtId="182" fontId="3" fillId="35" borderId="1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Layout" zoomScaleSheetLayoutView="100" workbookViewId="0" topLeftCell="A184">
      <selection activeCell="A10" sqref="A10:J10"/>
    </sheetView>
  </sheetViews>
  <sheetFormatPr defaultColWidth="8.875" defaultRowHeight="12.75"/>
  <cols>
    <col min="1" max="1" width="8.25390625" style="1" customWidth="1"/>
    <col min="2" max="2" width="64.375" style="6" customWidth="1"/>
    <col min="3" max="3" width="18.00390625" style="131" customWidth="1"/>
    <col min="4" max="4" width="14.625" style="132" customWidth="1"/>
    <col min="5" max="9" width="14.625" style="133" customWidth="1"/>
    <col min="10" max="10" width="20.00390625" style="134" customWidth="1"/>
    <col min="11" max="11" width="3.75390625" style="135" customWidth="1"/>
    <col min="12" max="13" width="12.625" style="14" customWidth="1"/>
    <col min="14" max="16384" width="8.875" style="132" customWidth="1"/>
  </cols>
  <sheetData>
    <row r="1" spans="1:13" s="9" customFormat="1" ht="15.75">
      <c r="A1" s="1"/>
      <c r="B1" s="2"/>
      <c r="C1" s="3"/>
      <c r="D1" s="4"/>
      <c r="E1" s="5"/>
      <c r="F1" s="136" t="s">
        <v>65</v>
      </c>
      <c r="G1" s="136"/>
      <c r="H1" s="136"/>
      <c r="I1" s="136"/>
      <c r="J1" s="136"/>
      <c r="K1" s="7"/>
      <c r="L1" s="8"/>
      <c r="M1" s="8"/>
    </row>
    <row r="2" spans="1:13" s="9" customFormat="1" ht="15.75">
      <c r="A2" s="1"/>
      <c r="B2" s="2"/>
      <c r="C2" s="3"/>
      <c r="E2" s="5"/>
      <c r="F2" s="136" t="s">
        <v>66</v>
      </c>
      <c r="G2" s="136"/>
      <c r="H2" s="136"/>
      <c r="I2" s="136"/>
      <c r="J2" s="136"/>
      <c r="K2" s="7"/>
      <c r="L2" s="8"/>
      <c r="M2" s="8"/>
    </row>
    <row r="3" spans="1:13" s="9" customFormat="1" ht="15.75">
      <c r="A3" s="1"/>
      <c r="B3" s="2"/>
      <c r="C3" s="3"/>
      <c r="E3" s="5"/>
      <c r="F3" s="136" t="s">
        <v>96</v>
      </c>
      <c r="G3" s="136"/>
      <c r="H3" s="136"/>
      <c r="I3" s="136"/>
      <c r="J3" s="136"/>
      <c r="K3" s="7"/>
      <c r="L3" s="8"/>
      <c r="M3" s="8"/>
    </row>
    <row r="4" spans="1:13" s="9" customFormat="1" ht="15.75">
      <c r="A4" s="1"/>
      <c r="B4" s="2"/>
      <c r="C4" s="3"/>
      <c r="E4" s="5"/>
      <c r="F4" s="136" t="s">
        <v>8</v>
      </c>
      <c r="G4" s="136"/>
      <c r="H4" s="136"/>
      <c r="I4" s="136"/>
      <c r="J4" s="136"/>
      <c r="K4" s="7"/>
      <c r="L4" s="8"/>
      <c r="M4" s="8"/>
    </row>
    <row r="5" spans="1:13" s="9" customFormat="1" ht="15.75">
      <c r="A5" s="1"/>
      <c r="B5" s="2"/>
      <c r="C5" s="3"/>
      <c r="E5" s="5"/>
      <c r="F5" s="136" t="s">
        <v>67</v>
      </c>
      <c r="G5" s="136"/>
      <c r="H5" s="136"/>
      <c r="I5" s="136"/>
      <c r="J5" s="136"/>
      <c r="K5" s="7"/>
      <c r="L5" s="8"/>
      <c r="M5" s="8"/>
    </row>
    <row r="6" spans="1:13" s="9" customFormat="1" ht="15.75">
      <c r="A6" s="1"/>
      <c r="B6" s="2"/>
      <c r="C6" s="10"/>
      <c r="D6" s="4"/>
      <c r="E6" s="5"/>
      <c r="F6" s="136" t="s">
        <v>43</v>
      </c>
      <c r="G6" s="136"/>
      <c r="H6" s="136"/>
      <c r="I6" s="136"/>
      <c r="J6" s="136"/>
      <c r="K6" s="7"/>
      <c r="L6" s="8"/>
      <c r="M6" s="8"/>
    </row>
    <row r="7" spans="1:13" s="9" customFormat="1" ht="15.75">
      <c r="A7" s="1"/>
      <c r="B7" s="2"/>
      <c r="C7" s="3"/>
      <c r="E7" s="5"/>
      <c r="F7" s="5"/>
      <c r="G7" s="5"/>
      <c r="H7" s="137"/>
      <c r="I7" s="137"/>
      <c r="K7" s="7"/>
      <c r="L7" s="8"/>
      <c r="M7" s="8"/>
    </row>
    <row r="8" spans="1:13" s="9" customFormat="1" ht="15.75">
      <c r="A8" s="1"/>
      <c r="B8" s="2"/>
      <c r="C8" s="11"/>
      <c r="E8" s="5"/>
      <c r="F8" s="5"/>
      <c r="G8" s="12"/>
      <c r="H8" s="137"/>
      <c r="I8" s="137"/>
      <c r="K8" s="7"/>
      <c r="L8" s="8"/>
      <c r="M8" s="8"/>
    </row>
    <row r="9" spans="1:13" s="9" customFormat="1" ht="15.75">
      <c r="A9" s="138" t="s">
        <v>7</v>
      </c>
      <c r="B9" s="138"/>
      <c r="C9" s="138"/>
      <c r="D9" s="138"/>
      <c r="E9" s="138"/>
      <c r="F9" s="138"/>
      <c r="G9" s="138"/>
      <c r="H9" s="138"/>
      <c r="I9" s="138"/>
      <c r="J9" s="138"/>
      <c r="K9" s="7"/>
      <c r="L9" s="8"/>
      <c r="M9" s="8"/>
    </row>
    <row r="10" spans="1:13" s="9" customFormat="1" ht="15.75">
      <c r="A10" s="138" t="s">
        <v>83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7"/>
      <c r="L10" s="8"/>
      <c r="M10" s="8"/>
    </row>
    <row r="11" spans="1:13" s="9" customFormat="1" ht="15.75">
      <c r="A11" s="138" t="s">
        <v>43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7"/>
      <c r="L11" s="8"/>
      <c r="M11" s="8"/>
    </row>
    <row r="12" spans="1:13" s="9" customFormat="1" ht="15.75">
      <c r="A12" s="1"/>
      <c r="B12" s="13"/>
      <c r="C12" s="14"/>
      <c r="E12" s="15"/>
      <c r="F12" s="10"/>
      <c r="G12" s="15"/>
      <c r="H12" s="15"/>
      <c r="I12" s="16"/>
      <c r="J12" s="17"/>
      <c r="K12" s="7"/>
      <c r="L12" s="8"/>
      <c r="M12" s="8"/>
    </row>
    <row r="13" spans="1:13" s="9" customFormat="1" ht="45" customHeight="1">
      <c r="A13" s="144" t="s">
        <v>0</v>
      </c>
      <c r="B13" s="146" t="s">
        <v>13</v>
      </c>
      <c r="C13" s="148" t="s">
        <v>44</v>
      </c>
      <c r="D13" s="149"/>
      <c r="E13" s="149"/>
      <c r="F13" s="149"/>
      <c r="G13" s="149"/>
      <c r="H13" s="149"/>
      <c r="I13" s="149"/>
      <c r="J13" s="143" t="s">
        <v>2</v>
      </c>
      <c r="K13" s="7"/>
      <c r="L13" s="8"/>
      <c r="M13" s="8"/>
    </row>
    <row r="14" spans="1:13" s="15" customFormat="1" ht="42.75" customHeight="1">
      <c r="A14" s="145"/>
      <c r="B14" s="147"/>
      <c r="C14" s="18" t="s">
        <v>1</v>
      </c>
      <c r="D14" s="19" t="s">
        <v>32</v>
      </c>
      <c r="E14" s="19" t="s">
        <v>33</v>
      </c>
      <c r="F14" s="19" t="s">
        <v>34</v>
      </c>
      <c r="G14" s="19" t="s">
        <v>35</v>
      </c>
      <c r="H14" s="19" t="s">
        <v>36</v>
      </c>
      <c r="I14" s="20" t="s">
        <v>37</v>
      </c>
      <c r="J14" s="143"/>
      <c r="K14" s="21"/>
      <c r="L14" s="22"/>
      <c r="M14" s="22"/>
    </row>
    <row r="15" spans="1:13" s="30" customFormat="1" ht="15.75" customHeight="1">
      <c r="A15" s="23" t="s">
        <v>22</v>
      </c>
      <c r="B15" s="24">
        <v>2</v>
      </c>
      <c r="C15" s="25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7">
        <v>9</v>
      </c>
      <c r="J15" s="25">
        <v>10</v>
      </c>
      <c r="K15" s="28"/>
      <c r="L15" s="29"/>
      <c r="M15" s="29"/>
    </row>
    <row r="16" spans="1:13" s="39" customFormat="1" ht="15.75">
      <c r="A16" s="31" t="s">
        <v>22</v>
      </c>
      <c r="B16" s="32" t="s">
        <v>10</v>
      </c>
      <c r="C16" s="33">
        <f>SUM(D16:I16)</f>
        <v>5607056.70808</v>
      </c>
      <c r="D16" s="34">
        <f aca="true" t="shared" si="0" ref="D16:I16">SUM(D17:D19)</f>
        <v>942448.2312900001</v>
      </c>
      <c r="E16" s="34">
        <f t="shared" si="0"/>
        <v>887883.3369899999</v>
      </c>
      <c r="F16" s="34">
        <f t="shared" si="0"/>
        <v>872930.94838</v>
      </c>
      <c r="G16" s="34">
        <f t="shared" si="0"/>
        <v>966400.19142</v>
      </c>
      <c r="H16" s="34">
        <f t="shared" si="0"/>
        <v>947725.3</v>
      </c>
      <c r="I16" s="35">
        <f t="shared" si="0"/>
        <v>989668.7</v>
      </c>
      <c r="J16" s="36"/>
      <c r="K16" s="37"/>
      <c r="L16" s="38"/>
      <c r="M16" s="38"/>
    </row>
    <row r="17" spans="1:13" s="48" customFormat="1" ht="15" customHeight="1">
      <c r="A17" s="40" t="s">
        <v>55</v>
      </c>
      <c r="B17" s="41" t="s">
        <v>3</v>
      </c>
      <c r="C17" s="42">
        <f>SUM(C22)</f>
        <v>2131872.0793</v>
      </c>
      <c r="D17" s="42">
        <f aca="true" t="shared" si="1" ref="C17:I19">SUM(D22)</f>
        <v>353888.81029000005</v>
      </c>
      <c r="E17" s="43">
        <f t="shared" si="1"/>
        <v>353012.8995899999</v>
      </c>
      <c r="F17" s="43">
        <f t="shared" si="1"/>
        <v>324951.103</v>
      </c>
      <c r="G17" s="43">
        <f t="shared" si="1"/>
        <v>386262.36641999986</v>
      </c>
      <c r="H17" s="43">
        <f t="shared" si="1"/>
        <v>341989.6</v>
      </c>
      <c r="I17" s="44">
        <f t="shared" si="1"/>
        <v>371767.3</v>
      </c>
      <c r="J17" s="45"/>
      <c r="K17" s="46"/>
      <c r="L17" s="47"/>
      <c r="M17" s="47"/>
    </row>
    <row r="18" spans="1:13" s="48" customFormat="1" ht="15" customHeight="1">
      <c r="A18" s="49">
        <f>A17+1</f>
        <v>3</v>
      </c>
      <c r="B18" s="41" t="s">
        <v>5</v>
      </c>
      <c r="C18" s="42">
        <f>SUM(C23)</f>
        <v>3475184.6287800004</v>
      </c>
      <c r="D18" s="42">
        <f>SUM(D23)</f>
        <v>588559.4210000001</v>
      </c>
      <c r="E18" s="43">
        <f>SUM(E23)</f>
        <v>534870.4373999999</v>
      </c>
      <c r="F18" s="43">
        <f t="shared" si="1"/>
        <v>547979.84538</v>
      </c>
      <c r="G18" s="43">
        <f t="shared" si="1"/>
        <v>580137.8250000002</v>
      </c>
      <c r="H18" s="43">
        <f t="shared" si="1"/>
        <v>605735.7000000001</v>
      </c>
      <c r="I18" s="44">
        <f t="shared" si="1"/>
        <v>617901.4</v>
      </c>
      <c r="J18" s="45"/>
      <c r="K18" s="50"/>
      <c r="L18" s="47"/>
      <c r="M18" s="47"/>
    </row>
    <row r="19" spans="1:13" s="48" customFormat="1" ht="15" customHeight="1">
      <c r="A19" s="49">
        <f>A18+1</f>
        <v>4</v>
      </c>
      <c r="B19" s="41" t="s">
        <v>4</v>
      </c>
      <c r="C19" s="42">
        <f t="shared" si="1"/>
        <v>0</v>
      </c>
      <c r="D19" s="42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4">
        <f t="shared" si="1"/>
        <v>0</v>
      </c>
      <c r="J19" s="45"/>
      <c r="K19" s="50"/>
      <c r="L19" s="47"/>
      <c r="M19" s="47"/>
    </row>
    <row r="20" spans="1:13" s="48" customFormat="1" ht="15" customHeight="1">
      <c r="A20" s="40"/>
      <c r="B20" s="41"/>
      <c r="C20" s="42"/>
      <c r="D20" s="51"/>
      <c r="E20" s="52"/>
      <c r="F20" s="52"/>
      <c r="G20" s="52"/>
      <c r="H20" s="52"/>
      <c r="I20" s="53"/>
      <c r="J20" s="54"/>
      <c r="K20" s="50"/>
      <c r="L20" s="47"/>
      <c r="M20" s="47"/>
    </row>
    <row r="21" spans="1:13" s="63" customFormat="1" ht="15.75">
      <c r="A21" s="55" t="s">
        <v>56</v>
      </c>
      <c r="B21" s="56" t="s">
        <v>6</v>
      </c>
      <c r="C21" s="57">
        <f>SUM(D21:I21)</f>
        <v>5607056.70808</v>
      </c>
      <c r="D21" s="58">
        <f aca="true" t="shared" si="2" ref="D21:I21">SUM(D22:D24)</f>
        <v>942448.2312900001</v>
      </c>
      <c r="E21" s="58">
        <f t="shared" si="2"/>
        <v>887883.3369899999</v>
      </c>
      <c r="F21" s="58">
        <f t="shared" si="2"/>
        <v>872930.94838</v>
      </c>
      <c r="G21" s="58">
        <f t="shared" si="2"/>
        <v>966400.19142</v>
      </c>
      <c r="H21" s="58">
        <f t="shared" si="2"/>
        <v>947725.3</v>
      </c>
      <c r="I21" s="59">
        <f t="shared" si="2"/>
        <v>989668.7</v>
      </c>
      <c r="J21" s="60"/>
      <c r="K21" s="61"/>
      <c r="L21" s="62"/>
      <c r="M21" s="62"/>
    </row>
    <row r="22" spans="1:13" s="48" customFormat="1" ht="15" customHeight="1">
      <c r="A22" s="49">
        <f>A21+1</f>
        <v>6</v>
      </c>
      <c r="B22" s="41" t="s">
        <v>3</v>
      </c>
      <c r="C22" s="42">
        <f aca="true" t="shared" si="3" ref="C22:I22">SUM(C34+C171+C183)</f>
        <v>2131872.0793</v>
      </c>
      <c r="D22" s="42">
        <f t="shared" si="3"/>
        <v>353888.81029000005</v>
      </c>
      <c r="E22" s="43">
        <f t="shared" si="3"/>
        <v>353012.8995899999</v>
      </c>
      <c r="F22" s="43">
        <f t="shared" si="3"/>
        <v>324951.103</v>
      </c>
      <c r="G22" s="43">
        <f t="shared" si="3"/>
        <v>386262.36641999986</v>
      </c>
      <c r="H22" s="43">
        <f t="shared" si="3"/>
        <v>341989.6</v>
      </c>
      <c r="I22" s="43">
        <f t="shared" si="3"/>
        <v>371767.3</v>
      </c>
      <c r="J22" s="45"/>
      <c r="K22" s="50"/>
      <c r="L22" s="47"/>
      <c r="M22" s="47"/>
    </row>
    <row r="23" spans="1:13" s="48" customFormat="1" ht="15" customHeight="1">
      <c r="A23" s="49">
        <f>A22+1</f>
        <v>7</v>
      </c>
      <c r="B23" s="41" t="s">
        <v>5</v>
      </c>
      <c r="C23" s="42">
        <f aca="true" t="shared" si="4" ref="C23:I23">SUM(C35+C184)</f>
        <v>3475184.6287800004</v>
      </c>
      <c r="D23" s="42">
        <f t="shared" si="4"/>
        <v>588559.4210000001</v>
      </c>
      <c r="E23" s="43">
        <f t="shared" si="4"/>
        <v>534870.4373999999</v>
      </c>
      <c r="F23" s="43">
        <f t="shared" si="4"/>
        <v>547979.84538</v>
      </c>
      <c r="G23" s="43">
        <f t="shared" si="4"/>
        <v>580137.8250000002</v>
      </c>
      <c r="H23" s="43">
        <f t="shared" si="4"/>
        <v>605735.7000000001</v>
      </c>
      <c r="I23" s="44">
        <f t="shared" si="4"/>
        <v>617901.4</v>
      </c>
      <c r="J23" s="45"/>
      <c r="K23" s="50"/>
      <c r="L23" s="47"/>
      <c r="M23" s="47"/>
    </row>
    <row r="24" spans="1:13" s="48" customFormat="1" ht="15" customHeight="1">
      <c r="A24" s="49">
        <f>A23+1</f>
        <v>8</v>
      </c>
      <c r="B24" s="41" t="s">
        <v>4</v>
      </c>
      <c r="C24" s="42">
        <f>SUM(C36)</f>
        <v>0</v>
      </c>
      <c r="D24" s="42">
        <f aca="true" t="shared" si="5" ref="D24:I24">SUM(D36)</f>
        <v>0</v>
      </c>
      <c r="E24" s="43">
        <f t="shared" si="5"/>
        <v>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44">
        <f t="shared" si="5"/>
        <v>0</v>
      </c>
      <c r="J24" s="45"/>
      <c r="K24" s="50"/>
      <c r="L24" s="47"/>
      <c r="M24" s="47"/>
    </row>
    <row r="25" spans="1:13" s="48" customFormat="1" ht="15" customHeight="1">
      <c r="A25" s="40"/>
      <c r="B25" s="64"/>
      <c r="C25" s="42"/>
      <c r="D25" s="51"/>
      <c r="E25" s="52"/>
      <c r="F25" s="52"/>
      <c r="G25" s="52"/>
      <c r="H25" s="52"/>
      <c r="I25" s="53"/>
      <c r="J25" s="54"/>
      <c r="K25" s="50"/>
      <c r="L25" s="47"/>
      <c r="M25" s="47"/>
    </row>
    <row r="26" spans="1:13" s="70" customFormat="1" ht="15" customHeight="1">
      <c r="A26" s="65"/>
      <c r="B26" s="66"/>
      <c r="C26" s="139" t="s">
        <v>30</v>
      </c>
      <c r="D26" s="140"/>
      <c r="E26" s="140"/>
      <c r="F26" s="140"/>
      <c r="G26" s="140"/>
      <c r="H26" s="140"/>
      <c r="I26" s="140"/>
      <c r="J26" s="67"/>
      <c r="K26" s="68"/>
      <c r="L26" s="69"/>
      <c r="M26" s="69"/>
    </row>
    <row r="27" spans="1:13" s="78" customFormat="1" ht="15" customHeight="1">
      <c r="A27" s="49">
        <f>A24+1</f>
        <v>9</v>
      </c>
      <c r="B27" s="71" t="s">
        <v>11</v>
      </c>
      <c r="C27" s="72">
        <f>SUM(C33)</f>
        <v>5313160.88554</v>
      </c>
      <c r="D27" s="72">
        <f aca="true" t="shared" si="6" ref="D27:I30">SUM(D33)</f>
        <v>899690.0962900001</v>
      </c>
      <c r="E27" s="73">
        <f t="shared" si="6"/>
        <v>841936.7369899999</v>
      </c>
      <c r="F27" s="73">
        <f t="shared" si="6"/>
        <v>825640.78838</v>
      </c>
      <c r="G27" s="73">
        <f t="shared" si="6"/>
        <v>915057.26388</v>
      </c>
      <c r="H27" s="73">
        <f t="shared" si="6"/>
        <v>895938.8</v>
      </c>
      <c r="I27" s="74">
        <f t="shared" si="6"/>
        <v>934897.2</v>
      </c>
      <c r="J27" s="75"/>
      <c r="K27" s="76"/>
      <c r="L27" s="77"/>
      <c r="M27" s="77"/>
    </row>
    <row r="28" spans="1:13" s="81" customFormat="1" ht="15" customHeight="1">
      <c r="A28" s="49">
        <f>A27+1</f>
        <v>10</v>
      </c>
      <c r="B28" s="41" t="s">
        <v>3</v>
      </c>
      <c r="C28" s="72">
        <f>SUM(C34)</f>
        <v>1838139.5567599998</v>
      </c>
      <c r="D28" s="72">
        <f>SUM(D34)</f>
        <v>311130.67529000004</v>
      </c>
      <c r="E28" s="73">
        <f>SUM(E34)</f>
        <v>307066.29958999995</v>
      </c>
      <c r="F28" s="73">
        <f t="shared" si="6"/>
        <v>277660.943</v>
      </c>
      <c r="G28" s="73">
        <f t="shared" si="6"/>
        <v>335082.7388799999</v>
      </c>
      <c r="H28" s="73">
        <f t="shared" si="6"/>
        <v>290203.1</v>
      </c>
      <c r="I28" s="74">
        <f t="shared" si="6"/>
        <v>316995.8</v>
      </c>
      <c r="J28" s="79"/>
      <c r="K28" s="7"/>
      <c r="L28" s="80"/>
      <c r="M28" s="80"/>
    </row>
    <row r="29" spans="1:13" s="81" customFormat="1" ht="15" customHeight="1">
      <c r="A29" s="49">
        <f>A28+1</f>
        <v>11</v>
      </c>
      <c r="B29" s="41" t="s">
        <v>5</v>
      </c>
      <c r="C29" s="72">
        <f>SUM(C35)</f>
        <v>3475021.3287800006</v>
      </c>
      <c r="D29" s="72">
        <f>SUM(D35)</f>
        <v>588559.4210000001</v>
      </c>
      <c r="E29" s="73">
        <f t="shared" si="6"/>
        <v>534870.4373999999</v>
      </c>
      <c r="F29" s="73">
        <f t="shared" si="6"/>
        <v>547979.84538</v>
      </c>
      <c r="G29" s="73">
        <f>SUM(G35)</f>
        <v>579974.5250000001</v>
      </c>
      <c r="H29" s="73">
        <f t="shared" si="6"/>
        <v>605735.7000000001</v>
      </c>
      <c r="I29" s="74">
        <f t="shared" si="6"/>
        <v>617901.4</v>
      </c>
      <c r="J29" s="79"/>
      <c r="K29" s="7"/>
      <c r="L29" s="80"/>
      <c r="M29" s="80"/>
    </row>
    <row r="30" spans="1:13" s="81" customFormat="1" ht="15" customHeight="1">
      <c r="A30" s="49">
        <f>A29+1</f>
        <v>12</v>
      </c>
      <c r="B30" s="41" t="s">
        <v>4</v>
      </c>
      <c r="C30" s="72">
        <f>SUM(C36)</f>
        <v>0</v>
      </c>
      <c r="D30" s="72">
        <f t="shared" si="6"/>
        <v>0</v>
      </c>
      <c r="E30" s="73">
        <f t="shared" si="6"/>
        <v>0</v>
      </c>
      <c r="F30" s="73">
        <f t="shared" si="6"/>
        <v>0</v>
      </c>
      <c r="G30" s="73">
        <f t="shared" si="6"/>
        <v>0</v>
      </c>
      <c r="H30" s="73">
        <f t="shared" si="6"/>
        <v>0</v>
      </c>
      <c r="I30" s="74">
        <f t="shared" si="6"/>
        <v>0</v>
      </c>
      <c r="J30" s="79"/>
      <c r="K30" s="7"/>
      <c r="L30" s="80"/>
      <c r="M30" s="80"/>
    </row>
    <row r="31" spans="1:13" s="81" customFormat="1" ht="15" customHeight="1">
      <c r="A31" s="82"/>
      <c r="B31" s="83"/>
      <c r="C31" s="72"/>
      <c r="D31" s="84"/>
      <c r="E31" s="85"/>
      <c r="F31" s="85"/>
      <c r="G31" s="85"/>
      <c r="H31" s="85"/>
      <c r="I31" s="86"/>
      <c r="J31" s="79"/>
      <c r="K31" s="7"/>
      <c r="L31" s="80"/>
      <c r="M31" s="80"/>
    </row>
    <row r="32" spans="1:13" s="81" customFormat="1" ht="15" customHeight="1">
      <c r="A32" s="87"/>
      <c r="B32" s="88"/>
      <c r="C32" s="141" t="s">
        <v>12</v>
      </c>
      <c r="D32" s="142"/>
      <c r="E32" s="142"/>
      <c r="F32" s="142"/>
      <c r="G32" s="142"/>
      <c r="H32" s="142"/>
      <c r="I32" s="142"/>
      <c r="J32" s="89"/>
      <c r="K32" s="7"/>
      <c r="L32" s="80"/>
      <c r="M32" s="80"/>
    </row>
    <row r="33" spans="1:13" s="78" customFormat="1" ht="15" customHeight="1">
      <c r="A33" s="90">
        <f>A30+1</f>
        <v>13</v>
      </c>
      <c r="B33" s="71" t="s">
        <v>14</v>
      </c>
      <c r="C33" s="72">
        <f>SUM(D33:I33)</f>
        <v>5313160.88554</v>
      </c>
      <c r="D33" s="73">
        <f aca="true" t="shared" si="7" ref="D33:I33">SUM(D34:D36)</f>
        <v>899690.0962900001</v>
      </c>
      <c r="E33" s="73">
        <f t="shared" si="7"/>
        <v>841936.7369899999</v>
      </c>
      <c r="F33" s="73">
        <f t="shared" si="7"/>
        <v>825640.78838</v>
      </c>
      <c r="G33" s="73">
        <f t="shared" si="7"/>
        <v>915057.26388</v>
      </c>
      <c r="H33" s="73">
        <f t="shared" si="7"/>
        <v>895938.8</v>
      </c>
      <c r="I33" s="74">
        <f t="shared" si="7"/>
        <v>934897.2</v>
      </c>
      <c r="J33" s="75"/>
      <c r="K33" s="76"/>
      <c r="L33" s="77"/>
      <c r="M33" s="77"/>
    </row>
    <row r="34" spans="1:13" s="81" customFormat="1" ht="15" customHeight="1">
      <c r="A34" s="90">
        <f>A33+1</f>
        <v>14</v>
      </c>
      <c r="B34" s="41" t="s">
        <v>3</v>
      </c>
      <c r="C34" s="72">
        <f>SUM(D34:I34)</f>
        <v>1838139.5567599998</v>
      </c>
      <c r="D34" s="85">
        <f aca="true" t="shared" si="8" ref="D34:I34">SUM(D42+D50+D54+D58+D62+D66+D69+D70+D77+D81+D82+D87+D90+D93+D96+D100+D103+D107+D112+D117+D118+D123+D127+D131+D135+D138+D142+D146+D159)</f>
        <v>311130.67529000004</v>
      </c>
      <c r="E34" s="85">
        <f t="shared" si="8"/>
        <v>307066.29958999995</v>
      </c>
      <c r="F34" s="85">
        <f t="shared" si="8"/>
        <v>277660.943</v>
      </c>
      <c r="G34" s="91">
        <f t="shared" si="8"/>
        <v>335082.7388799999</v>
      </c>
      <c r="H34" s="85">
        <f t="shared" si="8"/>
        <v>290203.1</v>
      </c>
      <c r="I34" s="85">
        <f t="shared" si="8"/>
        <v>316995.8</v>
      </c>
      <c r="J34" s="79"/>
      <c r="K34" s="7"/>
      <c r="L34" s="80"/>
      <c r="M34" s="80"/>
    </row>
    <row r="35" spans="1:13" s="81" customFormat="1" ht="15" customHeight="1">
      <c r="A35" s="90">
        <f>A34+1</f>
        <v>15</v>
      </c>
      <c r="B35" s="41" t="s">
        <v>5</v>
      </c>
      <c r="C35" s="72">
        <f>SUM(D35:I35)</f>
        <v>3475021.3287800006</v>
      </c>
      <c r="D35" s="85">
        <f aca="true" t="shared" si="9" ref="D35:I35">SUM(D39+D43+D46+D51+D55+D59+D63+D71+D74+D78+D83+D97+D104+D108+D113+D119+D124+D128+D132+D139+D143+D147+D150+D153+D156+D160+D163)</f>
        <v>588559.4210000001</v>
      </c>
      <c r="E35" s="85">
        <f t="shared" si="9"/>
        <v>534870.4373999999</v>
      </c>
      <c r="F35" s="85">
        <f t="shared" si="9"/>
        <v>547979.84538</v>
      </c>
      <c r="G35" s="91">
        <f t="shared" si="9"/>
        <v>579974.5250000001</v>
      </c>
      <c r="H35" s="85">
        <f t="shared" si="9"/>
        <v>605735.7000000001</v>
      </c>
      <c r="I35" s="85">
        <f t="shared" si="9"/>
        <v>617901.4</v>
      </c>
      <c r="J35" s="79"/>
      <c r="K35" s="7"/>
      <c r="L35" s="80"/>
      <c r="M35" s="80"/>
    </row>
    <row r="36" spans="1:13" s="81" customFormat="1" ht="15" customHeight="1">
      <c r="A36" s="90">
        <f>A35+1</f>
        <v>16</v>
      </c>
      <c r="B36" s="41" t="s">
        <v>4</v>
      </c>
      <c r="C36" s="72">
        <f>SUM(D36:I36)</f>
        <v>0</v>
      </c>
      <c r="D36" s="92">
        <f aca="true" t="shared" si="10" ref="D36:I36">SUM(D84+D109+D114+D120)</f>
        <v>0</v>
      </c>
      <c r="E36" s="92">
        <f t="shared" si="10"/>
        <v>0</v>
      </c>
      <c r="F36" s="92">
        <f t="shared" si="10"/>
        <v>0</v>
      </c>
      <c r="G36" s="92">
        <f t="shared" si="10"/>
        <v>0</v>
      </c>
      <c r="H36" s="92">
        <f t="shared" si="10"/>
        <v>0</v>
      </c>
      <c r="I36" s="92">
        <f t="shared" si="10"/>
        <v>0</v>
      </c>
      <c r="J36" s="93"/>
      <c r="K36" s="7"/>
      <c r="L36" s="80"/>
      <c r="M36" s="80"/>
    </row>
    <row r="37" spans="1:13" s="81" customFormat="1" ht="15" customHeight="1">
      <c r="A37" s="90"/>
      <c r="B37" s="94"/>
      <c r="C37" s="72"/>
      <c r="D37" s="92"/>
      <c r="E37" s="92"/>
      <c r="F37" s="92"/>
      <c r="G37" s="92"/>
      <c r="H37" s="92"/>
      <c r="I37" s="95"/>
      <c r="J37" s="79"/>
      <c r="K37" s="7"/>
      <c r="L37" s="80"/>
      <c r="M37" s="80"/>
    </row>
    <row r="38" spans="1:13" s="103" customFormat="1" ht="95.25" customHeight="1">
      <c r="A38" s="96">
        <f>A36+1</f>
        <v>17</v>
      </c>
      <c r="B38" s="97" t="s">
        <v>60</v>
      </c>
      <c r="C38" s="98">
        <f>SUM(D38:I38)</f>
        <v>1161407.6</v>
      </c>
      <c r="D38" s="98">
        <f aca="true" t="shared" si="11" ref="D38:I38">SUM(D39)</f>
        <v>171082.3</v>
      </c>
      <c r="E38" s="98">
        <f t="shared" si="11"/>
        <v>175121.4</v>
      </c>
      <c r="F38" s="98">
        <f t="shared" si="11"/>
        <v>191229</v>
      </c>
      <c r="G38" s="98">
        <f t="shared" si="11"/>
        <v>194489.9</v>
      </c>
      <c r="H38" s="98">
        <f t="shared" si="11"/>
        <v>212611</v>
      </c>
      <c r="I38" s="99">
        <f t="shared" si="11"/>
        <v>216874</v>
      </c>
      <c r="J38" s="100" t="s">
        <v>45</v>
      </c>
      <c r="K38" s="101"/>
      <c r="L38" s="102"/>
      <c r="M38" s="102"/>
    </row>
    <row r="39" spans="1:13" s="106" customFormat="1" ht="15" customHeight="1">
      <c r="A39" s="96">
        <f>A38+1</f>
        <v>18</v>
      </c>
      <c r="B39" s="104" t="s">
        <v>5</v>
      </c>
      <c r="C39" s="85">
        <f>SUM(D39:I39)</f>
        <v>1161407.6</v>
      </c>
      <c r="D39" s="85">
        <f>167620+3314.3+148</f>
        <v>171082.3</v>
      </c>
      <c r="E39" s="85">
        <f>188499-5000-8377.6</f>
        <v>175121.4</v>
      </c>
      <c r="F39" s="85">
        <f>204989-13760</f>
        <v>191229</v>
      </c>
      <c r="G39" s="85">
        <v>194489.9</v>
      </c>
      <c r="H39" s="85">
        <v>212611</v>
      </c>
      <c r="I39" s="85">
        <v>216874</v>
      </c>
      <c r="J39" s="100"/>
      <c r="K39" s="21"/>
      <c r="L39" s="105"/>
      <c r="M39" s="105"/>
    </row>
    <row r="40" spans="1:13" s="81" customFormat="1" ht="15" customHeight="1">
      <c r="A40" s="90"/>
      <c r="B40" s="83"/>
      <c r="C40" s="72"/>
      <c r="D40" s="92"/>
      <c r="E40" s="92"/>
      <c r="F40" s="92"/>
      <c r="G40" s="92"/>
      <c r="H40" s="92"/>
      <c r="I40" s="95"/>
      <c r="J40" s="79"/>
      <c r="K40" s="7"/>
      <c r="L40" s="80"/>
      <c r="M40" s="80"/>
    </row>
    <row r="41" spans="1:13" s="103" customFormat="1" ht="81" customHeight="1">
      <c r="A41" s="107">
        <f>A39+1</f>
        <v>19</v>
      </c>
      <c r="B41" s="108" t="s">
        <v>15</v>
      </c>
      <c r="C41" s="98">
        <f>SUM(D41:I41)</f>
        <v>611372.8502199999</v>
      </c>
      <c r="D41" s="98">
        <f aca="true" t="shared" si="12" ref="D41:I41">SUM(D42:D43)</f>
        <v>97300</v>
      </c>
      <c r="E41" s="98">
        <f t="shared" si="12"/>
        <v>95746.05</v>
      </c>
      <c r="F41" s="98">
        <f t="shared" si="12"/>
        <v>96686.713</v>
      </c>
      <c r="G41" s="98">
        <f t="shared" si="12"/>
        <v>109638.08722</v>
      </c>
      <c r="H41" s="98">
        <f t="shared" si="12"/>
        <v>101964.9</v>
      </c>
      <c r="I41" s="98">
        <f t="shared" si="12"/>
        <v>110037.1</v>
      </c>
      <c r="J41" s="100" t="s">
        <v>45</v>
      </c>
      <c r="K41" s="101"/>
      <c r="L41" s="102"/>
      <c r="M41" s="102"/>
    </row>
    <row r="42" spans="1:13" s="106" customFormat="1" ht="15" customHeight="1">
      <c r="A42" s="107">
        <f>A41+1</f>
        <v>20</v>
      </c>
      <c r="B42" s="104" t="s">
        <v>3</v>
      </c>
      <c r="C42" s="85">
        <f>SUM(D42:I42)</f>
        <v>608376.2502199999</v>
      </c>
      <c r="D42" s="85">
        <f>97300</f>
        <v>97300</v>
      </c>
      <c r="E42" s="85">
        <f>96939.3-1193.25</f>
        <v>95746.05</v>
      </c>
      <c r="F42" s="85">
        <f>94780+1906.713</f>
        <v>96686.713</v>
      </c>
      <c r="G42" s="85">
        <f>100016.7+2639.093+4003.14422-17.45</f>
        <v>106641.48722</v>
      </c>
      <c r="H42" s="85">
        <v>101964.9</v>
      </c>
      <c r="I42" s="85">
        <v>110037.1</v>
      </c>
      <c r="J42" s="100"/>
      <c r="K42" s="21"/>
      <c r="L42" s="105"/>
      <c r="M42" s="105"/>
    </row>
    <row r="43" spans="1:13" s="106" customFormat="1" ht="15" customHeight="1">
      <c r="A43" s="107">
        <f>A42+1</f>
        <v>21</v>
      </c>
      <c r="B43" s="104" t="s">
        <v>5</v>
      </c>
      <c r="C43" s="85">
        <f>SUM(D43:I43)</f>
        <v>2996.6</v>
      </c>
      <c r="D43" s="85">
        <v>0</v>
      </c>
      <c r="E43" s="85">
        <v>0</v>
      </c>
      <c r="F43" s="85">
        <v>0</v>
      </c>
      <c r="G43" s="85">
        <v>2996.6</v>
      </c>
      <c r="H43" s="85">
        <v>0</v>
      </c>
      <c r="I43" s="85">
        <v>0</v>
      </c>
      <c r="J43" s="100"/>
      <c r="K43" s="21"/>
      <c r="L43" s="105"/>
      <c r="M43" s="105"/>
    </row>
    <row r="44" spans="1:13" s="81" customFormat="1" ht="15" customHeight="1">
      <c r="A44" s="90"/>
      <c r="B44" s="83"/>
      <c r="C44" s="72"/>
      <c r="D44" s="92"/>
      <c r="E44" s="92"/>
      <c r="F44" s="92"/>
      <c r="G44" s="92"/>
      <c r="H44" s="92"/>
      <c r="I44" s="95"/>
      <c r="J44" s="79"/>
      <c r="K44" s="7"/>
      <c r="L44" s="80"/>
      <c r="M44" s="80"/>
    </row>
    <row r="45" spans="1:13" s="111" customFormat="1" ht="99.75" customHeight="1">
      <c r="A45" s="107">
        <f>A43+1</f>
        <v>22</v>
      </c>
      <c r="B45" s="108" t="s">
        <v>61</v>
      </c>
      <c r="C45" s="98">
        <f>SUM(D45:I45)</f>
        <v>1730880.4</v>
      </c>
      <c r="D45" s="98">
        <f aca="true" t="shared" si="13" ref="D45:I45">SUM(D46)</f>
        <v>282252.8</v>
      </c>
      <c r="E45" s="98">
        <f t="shared" si="13"/>
        <v>267321.3</v>
      </c>
      <c r="F45" s="98">
        <f t="shared" si="13"/>
        <v>275499</v>
      </c>
      <c r="G45" s="98">
        <f t="shared" si="13"/>
        <v>296363.30000000005</v>
      </c>
      <c r="H45" s="98">
        <f t="shared" si="13"/>
        <v>302051</v>
      </c>
      <c r="I45" s="99">
        <f t="shared" si="13"/>
        <v>307393</v>
      </c>
      <c r="J45" s="100" t="s">
        <v>46</v>
      </c>
      <c r="K45" s="109"/>
      <c r="L45" s="110"/>
      <c r="M45" s="110"/>
    </row>
    <row r="46" spans="1:13" s="106" customFormat="1" ht="15" customHeight="1">
      <c r="A46" s="107">
        <f>A45+1</f>
        <v>23</v>
      </c>
      <c r="B46" s="104" t="s">
        <v>5</v>
      </c>
      <c r="C46" s="85">
        <f>SUM(D46:I46)</f>
        <v>1730880.4</v>
      </c>
      <c r="D46" s="85">
        <f>225030+1000+15278.3+37000+3944.5</f>
        <v>282252.8</v>
      </c>
      <c r="E46" s="85">
        <f>269312+509.3-2500</f>
        <v>267321.3</v>
      </c>
      <c r="F46" s="85">
        <f>272905-395+600+2356+33</f>
        <v>275499</v>
      </c>
      <c r="G46" s="85">
        <f>288332.9+1134.4+4420.3+2475.7</f>
        <v>296363.30000000005</v>
      </c>
      <c r="H46" s="85">
        <v>302051</v>
      </c>
      <c r="I46" s="85">
        <v>307393</v>
      </c>
      <c r="J46" s="100"/>
      <c r="K46" s="21"/>
      <c r="L46" s="105"/>
      <c r="M46" s="105"/>
    </row>
    <row r="47" spans="1:13" s="81" customFormat="1" ht="15" customHeight="1">
      <c r="A47" s="90"/>
      <c r="B47" s="94"/>
      <c r="C47" s="72"/>
      <c r="D47" s="92"/>
      <c r="E47" s="92"/>
      <c r="F47" s="92"/>
      <c r="G47" s="92"/>
      <c r="H47" s="92"/>
      <c r="I47" s="95"/>
      <c r="J47" s="79"/>
      <c r="K47" s="7"/>
      <c r="L47" s="80"/>
      <c r="M47" s="80"/>
    </row>
    <row r="48" spans="1:13" s="111" customFormat="1" ht="81" customHeight="1">
      <c r="A48" s="107">
        <f>A46+1</f>
        <v>24</v>
      </c>
      <c r="B48" s="97" t="s">
        <v>16</v>
      </c>
      <c r="C48" s="98">
        <f>SUM(D48:I48)</f>
        <v>504007.90459000005</v>
      </c>
      <c r="D48" s="98">
        <f aca="true" t="shared" si="14" ref="D48:I48">SUM(D50:D51)</f>
        <v>69179.75</v>
      </c>
      <c r="E48" s="98">
        <f t="shared" si="14"/>
        <v>74776.97</v>
      </c>
      <c r="F48" s="98">
        <f t="shared" si="14"/>
        <v>81322.89</v>
      </c>
      <c r="G48" s="98">
        <f t="shared" si="14"/>
        <v>93607.19459000001</v>
      </c>
      <c r="H48" s="98">
        <f t="shared" si="14"/>
        <v>89231.5</v>
      </c>
      <c r="I48" s="98">
        <f t="shared" si="14"/>
        <v>95889.6</v>
      </c>
      <c r="J48" s="100" t="s">
        <v>47</v>
      </c>
      <c r="K48" s="109"/>
      <c r="L48" s="110"/>
      <c r="M48" s="110"/>
    </row>
    <row r="49" spans="1:13" s="106" customFormat="1" ht="40.5" customHeight="1">
      <c r="A49" s="107">
        <f>A48+1</f>
        <v>25</v>
      </c>
      <c r="B49" s="112" t="s">
        <v>9</v>
      </c>
      <c r="C49" s="113">
        <f>SUM(D49:I49)</f>
        <v>4512</v>
      </c>
      <c r="D49" s="113">
        <v>1541.2</v>
      </c>
      <c r="E49" s="113">
        <v>602.5</v>
      </c>
      <c r="F49" s="113">
        <v>611.1</v>
      </c>
      <c r="G49" s="113">
        <v>557.2</v>
      </c>
      <c r="H49" s="113">
        <v>600</v>
      </c>
      <c r="I49" s="113">
        <v>600</v>
      </c>
      <c r="J49" s="114"/>
      <c r="K49" s="21"/>
      <c r="L49" s="105"/>
      <c r="M49" s="105"/>
    </row>
    <row r="50" spans="1:13" s="106" customFormat="1" ht="15" customHeight="1">
      <c r="A50" s="96">
        <f>A49+1</f>
        <v>26</v>
      </c>
      <c r="B50" s="115" t="s">
        <v>3</v>
      </c>
      <c r="C50" s="85">
        <f>SUM(D50:I50)</f>
        <v>501911.60459</v>
      </c>
      <c r="D50" s="85">
        <f>67648+1015.1+516.65</f>
        <v>69179.75</v>
      </c>
      <c r="E50" s="85">
        <f>73583.72+1193.25</f>
        <v>74776.97</v>
      </c>
      <c r="F50" s="85">
        <f>79254+2068.89</f>
        <v>81322.89</v>
      </c>
      <c r="G50" s="85">
        <f>89005+1312.08989-360+195.5047+200+1026.8+148.7+124.3-158.95+17.45</f>
        <v>91510.89459000001</v>
      </c>
      <c r="H50" s="85">
        <v>89231.5</v>
      </c>
      <c r="I50" s="85">
        <v>95889.6</v>
      </c>
      <c r="J50" s="100"/>
      <c r="K50" s="21"/>
      <c r="L50" s="105"/>
      <c r="M50" s="105"/>
    </row>
    <row r="51" spans="1:13" s="106" customFormat="1" ht="15" customHeight="1">
      <c r="A51" s="96">
        <f>A50+1</f>
        <v>27</v>
      </c>
      <c r="B51" s="115" t="s">
        <v>5</v>
      </c>
      <c r="C51" s="85">
        <f>SUM(D51:I51)</f>
        <v>2096.3</v>
      </c>
      <c r="D51" s="85">
        <v>0</v>
      </c>
      <c r="E51" s="85">
        <v>0</v>
      </c>
      <c r="F51" s="85">
        <v>0</v>
      </c>
      <c r="G51" s="85">
        <f>106.4+1989.9</f>
        <v>2096.3</v>
      </c>
      <c r="H51" s="85">
        <v>0</v>
      </c>
      <c r="I51" s="85">
        <v>0</v>
      </c>
      <c r="J51" s="100"/>
      <c r="K51" s="21"/>
      <c r="L51" s="105"/>
      <c r="M51" s="105"/>
    </row>
    <row r="52" spans="1:13" s="81" customFormat="1" ht="15" customHeight="1">
      <c r="A52" s="90"/>
      <c r="B52" s="94"/>
      <c r="C52" s="72"/>
      <c r="D52" s="92"/>
      <c r="E52" s="92"/>
      <c r="F52" s="92"/>
      <c r="G52" s="92"/>
      <c r="H52" s="92"/>
      <c r="I52" s="95"/>
      <c r="J52" s="79"/>
      <c r="K52" s="7"/>
      <c r="L52" s="80"/>
      <c r="M52" s="80"/>
    </row>
    <row r="53" spans="1:13" s="106" customFormat="1" ht="66.75" customHeight="1">
      <c r="A53" s="107">
        <f>A51+1</f>
        <v>28</v>
      </c>
      <c r="B53" s="116" t="s">
        <v>17</v>
      </c>
      <c r="C53" s="98">
        <f>SUM(D53:I53)</f>
        <v>247460.18276</v>
      </c>
      <c r="D53" s="73">
        <f aca="true" t="shared" si="15" ref="D53:I53">SUM(D54:D55)</f>
        <v>43390.80876</v>
      </c>
      <c r="E53" s="73">
        <f t="shared" si="15"/>
        <v>37821.7</v>
      </c>
      <c r="F53" s="73">
        <f t="shared" si="15"/>
        <v>37737.894</v>
      </c>
      <c r="G53" s="73">
        <f t="shared" si="15"/>
        <v>40467.48</v>
      </c>
      <c r="H53" s="73">
        <f t="shared" si="15"/>
        <v>43045.8</v>
      </c>
      <c r="I53" s="73">
        <f t="shared" si="15"/>
        <v>44996.5</v>
      </c>
      <c r="J53" s="100" t="s">
        <v>85</v>
      </c>
      <c r="K53" s="21"/>
      <c r="L53" s="105"/>
      <c r="M53" s="105"/>
    </row>
    <row r="54" spans="1:13" s="106" customFormat="1" ht="15" customHeight="1">
      <c r="A54" s="96">
        <f>A53+1</f>
        <v>29</v>
      </c>
      <c r="B54" s="115" t="s">
        <v>3</v>
      </c>
      <c r="C54" s="85">
        <f>SUM(D54:I54)</f>
        <v>245975.98275999998</v>
      </c>
      <c r="D54" s="85">
        <f>40941.889-1115.35724+2383.077</f>
        <v>42209.60876</v>
      </c>
      <c r="E54" s="85">
        <v>37821.7</v>
      </c>
      <c r="F54" s="85">
        <f>37273.1+464.794</f>
        <v>37737.894</v>
      </c>
      <c r="G54" s="85">
        <f>42880.5-110.02-2776+120+50</f>
        <v>40164.48</v>
      </c>
      <c r="H54" s="85">
        <v>43045.8</v>
      </c>
      <c r="I54" s="85">
        <v>44996.5</v>
      </c>
      <c r="J54" s="100"/>
      <c r="K54" s="21"/>
      <c r="L54" s="105"/>
      <c r="M54" s="105"/>
    </row>
    <row r="55" spans="1:13" s="106" customFormat="1" ht="15" customHeight="1">
      <c r="A55" s="96">
        <f>A54+1</f>
        <v>30</v>
      </c>
      <c r="B55" s="115" t="s">
        <v>5</v>
      </c>
      <c r="C55" s="85">
        <f>SUM(D55:I55)</f>
        <v>1484.2</v>
      </c>
      <c r="D55" s="92">
        <f>1181.2</f>
        <v>1181.2</v>
      </c>
      <c r="E55" s="92">
        <v>0</v>
      </c>
      <c r="F55" s="92">
        <v>0</v>
      </c>
      <c r="G55" s="92">
        <v>303</v>
      </c>
      <c r="H55" s="92">
        <v>0</v>
      </c>
      <c r="I55" s="95">
        <v>0</v>
      </c>
      <c r="J55" s="100"/>
      <c r="K55" s="21"/>
      <c r="L55" s="105"/>
      <c r="M55" s="105"/>
    </row>
    <row r="56" spans="1:13" s="81" customFormat="1" ht="15" customHeight="1">
      <c r="A56" s="90"/>
      <c r="B56" s="94"/>
      <c r="C56" s="72"/>
      <c r="D56" s="92"/>
      <c r="E56" s="92"/>
      <c r="F56" s="92"/>
      <c r="G56" s="92"/>
      <c r="H56" s="92"/>
      <c r="I56" s="95"/>
      <c r="J56" s="79"/>
      <c r="K56" s="7"/>
      <c r="L56" s="80"/>
      <c r="M56" s="80"/>
    </row>
    <row r="57" spans="1:13" s="106" customFormat="1" ht="48" customHeight="1">
      <c r="A57" s="107">
        <f>A55+1</f>
        <v>31</v>
      </c>
      <c r="B57" s="116" t="s">
        <v>31</v>
      </c>
      <c r="C57" s="98">
        <f>SUM(D57:I57)</f>
        <v>23905.5</v>
      </c>
      <c r="D57" s="98">
        <f aca="true" t="shared" si="16" ref="D57:I57">SUM(D58:D59)</f>
        <v>3120.2</v>
      </c>
      <c r="E57" s="98">
        <f t="shared" si="16"/>
        <v>3615</v>
      </c>
      <c r="F57" s="98">
        <f t="shared" si="16"/>
        <v>3900</v>
      </c>
      <c r="G57" s="98">
        <f t="shared" si="16"/>
        <v>4352.3</v>
      </c>
      <c r="H57" s="98">
        <f t="shared" si="16"/>
        <v>4373</v>
      </c>
      <c r="I57" s="98">
        <f t="shared" si="16"/>
        <v>4545</v>
      </c>
      <c r="J57" s="100">
        <v>38</v>
      </c>
      <c r="K57" s="21"/>
      <c r="L57" s="105"/>
      <c r="M57" s="105"/>
    </row>
    <row r="58" spans="1:13" s="106" customFormat="1" ht="15" customHeight="1">
      <c r="A58" s="96">
        <f>A57+1</f>
        <v>32</v>
      </c>
      <c r="B58" s="104" t="s">
        <v>3</v>
      </c>
      <c r="C58" s="85">
        <f>SUM(D58:I58)</f>
        <v>23808.300000000003</v>
      </c>
      <c r="D58" s="85">
        <v>3120.2</v>
      </c>
      <c r="E58" s="85">
        <v>3615</v>
      </c>
      <c r="F58" s="85">
        <f>3900</f>
        <v>3900</v>
      </c>
      <c r="G58" s="85">
        <v>4255.1</v>
      </c>
      <c r="H58" s="85">
        <v>4373</v>
      </c>
      <c r="I58" s="85">
        <v>4545</v>
      </c>
      <c r="J58" s="100"/>
      <c r="K58" s="21"/>
      <c r="L58" s="105"/>
      <c r="M58" s="105"/>
    </row>
    <row r="59" spans="1:13" s="106" customFormat="1" ht="15" customHeight="1">
      <c r="A59" s="96">
        <f>A58+1</f>
        <v>33</v>
      </c>
      <c r="B59" s="104" t="s">
        <v>5</v>
      </c>
      <c r="C59" s="85">
        <f>SUM(D59:I59)</f>
        <v>97.2</v>
      </c>
      <c r="D59" s="85">
        <v>0</v>
      </c>
      <c r="E59" s="85">
        <v>0</v>
      </c>
      <c r="F59" s="85">
        <v>0</v>
      </c>
      <c r="G59" s="85">
        <v>97.2</v>
      </c>
      <c r="H59" s="85">
        <v>0</v>
      </c>
      <c r="I59" s="85">
        <v>0</v>
      </c>
      <c r="J59" s="100"/>
      <c r="K59" s="21"/>
      <c r="L59" s="105"/>
      <c r="M59" s="105"/>
    </row>
    <row r="60" spans="1:13" s="106" customFormat="1" ht="15" customHeight="1">
      <c r="A60" s="96"/>
      <c r="B60" s="104"/>
      <c r="C60" s="73"/>
      <c r="D60" s="85"/>
      <c r="E60" s="85"/>
      <c r="F60" s="85"/>
      <c r="G60" s="85"/>
      <c r="H60" s="85"/>
      <c r="I60" s="86"/>
      <c r="J60" s="100"/>
      <c r="K60" s="21"/>
      <c r="L60" s="105"/>
      <c r="M60" s="105"/>
    </row>
    <row r="61" spans="1:13" s="106" customFormat="1" ht="63.75" customHeight="1">
      <c r="A61" s="107">
        <f>A59+1</f>
        <v>34</v>
      </c>
      <c r="B61" s="116" t="s">
        <v>58</v>
      </c>
      <c r="C61" s="98">
        <f>SUM(D61:I61)</f>
        <v>126830.46965</v>
      </c>
      <c r="D61" s="98">
        <f aca="true" t="shared" si="17" ref="D61:I61">SUM(D62:D63)</f>
        <v>36547.40074</v>
      </c>
      <c r="E61" s="98">
        <f t="shared" si="17"/>
        <v>17994.336</v>
      </c>
      <c r="F61" s="98">
        <f t="shared" si="17"/>
        <v>16200</v>
      </c>
      <c r="G61" s="98">
        <f t="shared" si="17"/>
        <v>21441.13291</v>
      </c>
      <c r="H61" s="98">
        <f t="shared" si="17"/>
        <v>17323.8</v>
      </c>
      <c r="I61" s="99">
        <f t="shared" si="17"/>
        <v>17323.8</v>
      </c>
      <c r="J61" s="100">
        <v>30</v>
      </c>
      <c r="K61" s="21"/>
      <c r="L61" s="105"/>
      <c r="M61" s="105"/>
    </row>
    <row r="62" spans="1:13" s="106" customFormat="1" ht="15" customHeight="1">
      <c r="A62" s="96">
        <f>A61+1</f>
        <v>35</v>
      </c>
      <c r="B62" s="115" t="s">
        <v>3</v>
      </c>
      <c r="C62" s="85">
        <f>SUM(D62:I62)</f>
        <v>126830.46965</v>
      </c>
      <c r="D62" s="85">
        <f>31688.52+4858.88074</f>
        <v>36547.40074</v>
      </c>
      <c r="E62" s="85">
        <f>19884.691-1456.913-433.442</f>
        <v>17994.336</v>
      </c>
      <c r="F62" s="85">
        <f>16200</f>
        <v>16200</v>
      </c>
      <c r="G62" s="85">
        <f>8640.6+4112.1948+1637.184+3785.9448+3465.20931-200</f>
        <v>21441.13291</v>
      </c>
      <c r="H62" s="85">
        <v>17323.8</v>
      </c>
      <c r="I62" s="85">
        <v>17323.8</v>
      </c>
      <c r="J62" s="100"/>
      <c r="K62" s="21"/>
      <c r="L62" s="105"/>
      <c r="M62" s="105"/>
    </row>
    <row r="63" spans="1:13" s="106" customFormat="1" ht="15" customHeight="1">
      <c r="A63" s="96">
        <f>A62+1</f>
        <v>36</v>
      </c>
      <c r="B63" s="115" t="s">
        <v>5</v>
      </c>
      <c r="C63" s="85">
        <f>SUM(D63:I63)</f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6">
        <v>0</v>
      </c>
      <c r="J63" s="100"/>
      <c r="K63" s="21"/>
      <c r="L63" s="105"/>
      <c r="M63" s="105"/>
    </row>
    <row r="64" spans="1:13" s="81" customFormat="1" ht="15" customHeight="1">
      <c r="A64" s="90"/>
      <c r="B64" s="115"/>
      <c r="C64" s="72"/>
      <c r="D64" s="92"/>
      <c r="E64" s="92"/>
      <c r="F64" s="92"/>
      <c r="G64" s="92"/>
      <c r="H64" s="92"/>
      <c r="I64" s="95"/>
      <c r="J64" s="79"/>
      <c r="K64" s="7"/>
      <c r="L64" s="80"/>
      <c r="M64" s="80"/>
    </row>
    <row r="65" spans="1:13" s="78" customFormat="1" ht="95.25" customHeight="1">
      <c r="A65" s="107">
        <f>A63+1</f>
        <v>37</v>
      </c>
      <c r="B65" s="116" t="s">
        <v>21</v>
      </c>
      <c r="C65" s="98">
        <f>SUM(D65:I65)</f>
        <v>34911.5812</v>
      </c>
      <c r="D65" s="73">
        <f aca="true" t="shared" si="18" ref="D65:I65">SUM(D66:D66)</f>
        <v>710.84455</v>
      </c>
      <c r="E65" s="73">
        <f t="shared" si="18"/>
        <v>16498.545990000002</v>
      </c>
      <c r="F65" s="73">
        <f t="shared" si="18"/>
        <v>2525.1691999999994</v>
      </c>
      <c r="G65" s="73">
        <f t="shared" si="18"/>
        <v>15177.02146</v>
      </c>
      <c r="H65" s="73">
        <f t="shared" si="18"/>
        <v>0</v>
      </c>
      <c r="I65" s="74">
        <f t="shared" si="18"/>
        <v>0</v>
      </c>
      <c r="J65" s="79">
        <v>35</v>
      </c>
      <c r="K65" s="76"/>
      <c r="L65" s="77"/>
      <c r="M65" s="77"/>
    </row>
    <row r="66" spans="1:13" s="106" customFormat="1" ht="15" customHeight="1">
      <c r="A66" s="96">
        <f>A65+1</f>
        <v>38</v>
      </c>
      <c r="B66" s="115" t="s">
        <v>3</v>
      </c>
      <c r="C66" s="85">
        <f>SUM(D66:I66)</f>
        <v>34911.5812</v>
      </c>
      <c r="D66" s="85">
        <f>581.851+128.99355</f>
        <v>710.84455</v>
      </c>
      <c r="E66" s="85">
        <f>7816+5050.00399+200+3432.542</f>
        <v>16498.545990000002</v>
      </c>
      <c r="F66" s="85">
        <f>4985.98-7.023-2452.3445-1.4433</f>
        <v>2525.1691999999994</v>
      </c>
      <c r="G66" s="85">
        <f>9050+586.1484-3.998-27.3412+5523.936-1023.936+1072.21226</f>
        <v>15177.02146</v>
      </c>
      <c r="H66" s="85">
        <v>0</v>
      </c>
      <c r="I66" s="85">
        <v>0</v>
      </c>
      <c r="J66" s="100"/>
      <c r="K66" s="21"/>
      <c r="L66" s="105"/>
      <c r="M66" s="105"/>
    </row>
    <row r="67" spans="1:13" s="81" customFormat="1" ht="15" customHeight="1">
      <c r="A67" s="90"/>
      <c r="B67" s="115"/>
      <c r="C67" s="72"/>
      <c r="D67" s="92"/>
      <c r="E67" s="92"/>
      <c r="F67" s="92"/>
      <c r="G67" s="92"/>
      <c r="H67" s="92"/>
      <c r="I67" s="95"/>
      <c r="J67" s="79"/>
      <c r="K67" s="7"/>
      <c r="L67" s="80"/>
      <c r="M67" s="80"/>
    </row>
    <row r="68" spans="1:13" s="106" customFormat="1" ht="69.75" customHeight="1">
      <c r="A68" s="107">
        <f>A66+1</f>
        <v>39</v>
      </c>
      <c r="B68" s="116" t="s">
        <v>86</v>
      </c>
      <c r="C68" s="98">
        <f>SUM(D68:I68)</f>
        <v>25564.495300000002</v>
      </c>
      <c r="D68" s="98">
        <f aca="true" t="shared" si="19" ref="D68:I68">SUM(D69:D71)</f>
        <v>7784</v>
      </c>
      <c r="E68" s="98">
        <f t="shared" si="19"/>
        <v>4000</v>
      </c>
      <c r="F68" s="98">
        <f t="shared" si="19"/>
        <v>4000</v>
      </c>
      <c r="G68" s="98">
        <f t="shared" si="19"/>
        <v>4972.4953000000005</v>
      </c>
      <c r="H68" s="98">
        <f t="shared" si="19"/>
        <v>2404</v>
      </c>
      <c r="I68" s="99">
        <f t="shared" si="19"/>
        <v>2404</v>
      </c>
      <c r="J68" s="100">
        <v>38</v>
      </c>
      <c r="K68" s="21"/>
      <c r="L68" s="105"/>
      <c r="M68" s="105"/>
    </row>
    <row r="69" spans="1:13" s="106" customFormat="1" ht="30" customHeight="1">
      <c r="A69" s="96">
        <f>A68+1</f>
        <v>40</v>
      </c>
      <c r="B69" s="104" t="s">
        <v>91</v>
      </c>
      <c r="C69" s="85">
        <f>SUM(D69:I69)</f>
        <v>164.4953</v>
      </c>
      <c r="D69" s="85">
        <v>0</v>
      </c>
      <c r="E69" s="85">
        <v>0</v>
      </c>
      <c r="F69" s="85">
        <v>0</v>
      </c>
      <c r="G69" s="85">
        <f>164.4953</f>
        <v>164.4953</v>
      </c>
      <c r="H69" s="85">
        <v>0</v>
      </c>
      <c r="I69" s="85">
        <v>0</v>
      </c>
      <c r="J69" s="100"/>
      <c r="K69" s="21"/>
      <c r="L69" s="105"/>
      <c r="M69" s="105"/>
    </row>
    <row r="70" spans="1:13" s="106" customFormat="1" ht="15" customHeight="1">
      <c r="A70" s="96">
        <f>A69+1</f>
        <v>41</v>
      </c>
      <c r="B70" s="104" t="s">
        <v>3</v>
      </c>
      <c r="C70" s="85">
        <f>SUM(D70:I70)</f>
        <v>16112.8</v>
      </c>
      <c r="D70" s="85">
        <f>2000+1892</f>
        <v>3892</v>
      </c>
      <c r="E70" s="85">
        <v>2000</v>
      </c>
      <c r="F70" s="85">
        <f>2000</f>
        <v>2000</v>
      </c>
      <c r="G70" s="85">
        <v>3412.8</v>
      </c>
      <c r="H70" s="85">
        <v>2404</v>
      </c>
      <c r="I70" s="85">
        <v>2404</v>
      </c>
      <c r="J70" s="100"/>
      <c r="K70" s="21"/>
      <c r="L70" s="105"/>
      <c r="M70" s="105"/>
    </row>
    <row r="71" spans="1:13" s="106" customFormat="1" ht="15" customHeight="1">
      <c r="A71" s="96">
        <f>A70+1</f>
        <v>42</v>
      </c>
      <c r="B71" s="117" t="s">
        <v>5</v>
      </c>
      <c r="C71" s="85">
        <f>SUM(D71:I71)</f>
        <v>9287.2</v>
      </c>
      <c r="D71" s="85">
        <v>3892</v>
      </c>
      <c r="E71" s="85">
        <f>2000</f>
        <v>2000</v>
      </c>
      <c r="F71" s="85">
        <v>2000</v>
      </c>
      <c r="G71" s="85">
        <v>1395.2</v>
      </c>
      <c r="H71" s="85">
        <v>0</v>
      </c>
      <c r="I71" s="86">
        <v>0</v>
      </c>
      <c r="J71" s="100"/>
      <c r="K71" s="21"/>
      <c r="L71" s="105"/>
      <c r="M71" s="105"/>
    </row>
    <row r="72" spans="1:13" s="106" customFormat="1" ht="15" customHeight="1">
      <c r="A72" s="96"/>
      <c r="B72" s="117"/>
      <c r="C72" s="73"/>
      <c r="D72" s="85"/>
      <c r="E72" s="85"/>
      <c r="F72" s="85"/>
      <c r="G72" s="85"/>
      <c r="H72" s="85"/>
      <c r="I72" s="86"/>
      <c r="J72" s="100"/>
      <c r="K72" s="21"/>
      <c r="L72" s="105"/>
      <c r="M72" s="105"/>
    </row>
    <row r="73" spans="1:13" s="106" customFormat="1" ht="63.75" customHeight="1">
      <c r="A73" s="107">
        <f>A71+1</f>
        <v>43</v>
      </c>
      <c r="B73" s="116" t="s">
        <v>18</v>
      </c>
      <c r="C73" s="98">
        <f>SUM(D73:I73)</f>
        <v>176988.989</v>
      </c>
      <c r="D73" s="98">
        <f aca="true" t="shared" si="20" ref="D73:I73">SUM(D74)</f>
        <v>36954</v>
      </c>
      <c r="E73" s="98">
        <f t="shared" si="20"/>
        <v>29142.288999999997</v>
      </c>
      <c r="F73" s="98">
        <f t="shared" si="20"/>
        <v>23296</v>
      </c>
      <c r="G73" s="98">
        <f t="shared" si="20"/>
        <v>25205.7</v>
      </c>
      <c r="H73" s="98">
        <f t="shared" si="20"/>
        <v>30585</v>
      </c>
      <c r="I73" s="99">
        <f t="shared" si="20"/>
        <v>31806</v>
      </c>
      <c r="J73" s="100">
        <v>21</v>
      </c>
      <c r="K73" s="21"/>
      <c r="L73" s="105"/>
      <c r="M73" s="105"/>
    </row>
    <row r="74" spans="1:13" s="106" customFormat="1" ht="15.75" customHeight="1">
      <c r="A74" s="96">
        <f>A73+1</f>
        <v>44</v>
      </c>
      <c r="B74" s="104" t="s">
        <v>5</v>
      </c>
      <c r="C74" s="85">
        <f>SUM(D74:I74)</f>
        <v>176988.989</v>
      </c>
      <c r="D74" s="85">
        <f>38119-1165</f>
        <v>36954</v>
      </c>
      <c r="E74" s="85">
        <f>40079-2084-2900.711-5952</f>
        <v>29142.288999999997</v>
      </c>
      <c r="F74" s="85">
        <f>21898+1398</f>
        <v>23296</v>
      </c>
      <c r="G74" s="85">
        <f>29408-2510-1692.3</f>
        <v>25205.7</v>
      </c>
      <c r="H74" s="85">
        <v>30585</v>
      </c>
      <c r="I74" s="85">
        <v>31806</v>
      </c>
      <c r="J74" s="100"/>
      <c r="K74" s="21"/>
      <c r="L74" s="118"/>
      <c r="M74" s="118"/>
    </row>
    <row r="75" spans="1:13" s="81" customFormat="1" ht="15" customHeight="1">
      <c r="A75" s="90"/>
      <c r="B75" s="115"/>
      <c r="C75" s="73"/>
      <c r="D75" s="92"/>
      <c r="E75" s="92"/>
      <c r="F75" s="92"/>
      <c r="G75" s="92"/>
      <c r="H75" s="92"/>
      <c r="I75" s="95"/>
      <c r="J75" s="79"/>
      <c r="K75" s="7"/>
      <c r="L75" s="119"/>
      <c r="M75" s="119"/>
    </row>
    <row r="76" spans="1:13" s="106" customFormat="1" ht="80.25" customHeight="1">
      <c r="A76" s="107">
        <f>A74+1</f>
        <v>45</v>
      </c>
      <c r="B76" s="116" t="s">
        <v>57</v>
      </c>
      <c r="C76" s="98">
        <f>SUM(D76:I76)</f>
        <v>105745.4</v>
      </c>
      <c r="D76" s="98">
        <f aca="true" t="shared" si="21" ref="D76:I76">SUM(D77:D78)</f>
        <v>18303.9</v>
      </c>
      <c r="E76" s="98">
        <f t="shared" si="21"/>
        <v>9942.4</v>
      </c>
      <c r="F76" s="98">
        <f t="shared" si="21"/>
        <v>16243.1</v>
      </c>
      <c r="G76" s="98">
        <f t="shared" si="21"/>
        <v>20548.6</v>
      </c>
      <c r="H76" s="98">
        <f t="shared" si="21"/>
        <v>19915.4</v>
      </c>
      <c r="I76" s="99">
        <f t="shared" si="21"/>
        <v>20792</v>
      </c>
      <c r="J76" s="100" t="s">
        <v>48</v>
      </c>
      <c r="K76" s="21"/>
      <c r="L76" s="105"/>
      <c r="M76" s="105"/>
    </row>
    <row r="77" spans="1:13" s="106" customFormat="1" ht="15" customHeight="1">
      <c r="A77" s="96">
        <f>A76+1</f>
        <v>46</v>
      </c>
      <c r="B77" s="104" t="s">
        <v>3</v>
      </c>
      <c r="C77" s="85">
        <f>SUM(D77:I77)</f>
        <v>31324.9</v>
      </c>
      <c r="D77" s="85">
        <v>6000</v>
      </c>
      <c r="E77" s="85">
        <f>6300-2999.1</f>
        <v>3300.9</v>
      </c>
      <c r="F77" s="85">
        <f>4500</f>
        <v>4500</v>
      </c>
      <c r="G77" s="85">
        <v>6224</v>
      </c>
      <c r="H77" s="85">
        <v>5500</v>
      </c>
      <c r="I77" s="85">
        <v>5800</v>
      </c>
      <c r="J77" s="100"/>
      <c r="K77" s="21"/>
      <c r="L77" s="105"/>
      <c r="M77" s="105"/>
    </row>
    <row r="78" spans="1:13" s="106" customFormat="1" ht="15" customHeight="1">
      <c r="A78" s="96">
        <f>A77+1</f>
        <v>47</v>
      </c>
      <c r="B78" s="104" t="s">
        <v>5</v>
      </c>
      <c r="C78" s="85">
        <f>SUM(D78:I78)</f>
        <v>74420.5</v>
      </c>
      <c r="D78" s="85">
        <f>12303.9</f>
        <v>12303.9</v>
      </c>
      <c r="E78" s="85">
        <f>12670.6-6029.1</f>
        <v>6641.5</v>
      </c>
      <c r="F78" s="85">
        <f>12740.7-997.6</f>
        <v>11743.1</v>
      </c>
      <c r="G78" s="85">
        <f>14009.6+315</f>
        <v>14324.6</v>
      </c>
      <c r="H78" s="85">
        <v>14415.4</v>
      </c>
      <c r="I78" s="85">
        <v>14992</v>
      </c>
      <c r="J78" s="100"/>
      <c r="K78" s="21"/>
      <c r="L78" s="105"/>
      <c r="M78" s="105"/>
    </row>
    <row r="79" spans="1:13" s="81" customFormat="1" ht="15" customHeight="1">
      <c r="A79" s="90"/>
      <c r="B79" s="104"/>
      <c r="C79" s="73"/>
      <c r="D79" s="92"/>
      <c r="E79" s="92"/>
      <c r="F79" s="92"/>
      <c r="G79" s="92"/>
      <c r="H79" s="92"/>
      <c r="I79" s="95"/>
      <c r="J79" s="100"/>
      <c r="K79" s="7"/>
      <c r="L79" s="80"/>
      <c r="M79" s="80"/>
    </row>
    <row r="80" spans="1:13" s="111" customFormat="1" ht="63" customHeight="1">
      <c r="A80" s="107">
        <f>A78+1</f>
        <v>48</v>
      </c>
      <c r="B80" s="120" t="s">
        <v>19</v>
      </c>
      <c r="C80" s="98">
        <f>SUM(D80:I80)</f>
        <v>4941.42</v>
      </c>
      <c r="D80" s="98">
        <f aca="true" t="shared" si="22" ref="D80:I80">SUM(D81:D84)</f>
        <v>1440</v>
      </c>
      <c r="E80" s="98">
        <f t="shared" si="22"/>
        <v>0</v>
      </c>
      <c r="F80" s="98">
        <f t="shared" si="22"/>
        <v>2000</v>
      </c>
      <c r="G80" s="98">
        <f t="shared" si="22"/>
        <v>1501.42</v>
      </c>
      <c r="H80" s="98">
        <f t="shared" si="22"/>
        <v>0</v>
      </c>
      <c r="I80" s="98">
        <f t="shared" si="22"/>
        <v>0</v>
      </c>
      <c r="J80" s="100" t="s">
        <v>49</v>
      </c>
      <c r="K80" s="109"/>
      <c r="L80" s="110"/>
      <c r="M80" s="110"/>
    </row>
    <row r="81" spans="1:13" s="106" customFormat="1" ht="31.5" customHeight="1">
      <c r="A81" s="96">
        <f>A80+1</f>
        <v>49</v>
      </c>
      <c r="B81" s="104" t="s">
        <v>92</v>
      </c>
      <c r="C81" s="85">
        <f>SUM(D81:I81)</f>
        <v>239.33400000000003</v>
      </c>
      <c r="D81" s="85">
        <v>0</v>
      </c>
      <c r="E81" s="85">
        <f>530-530</f>
        <v>0</v>
      </c>
      <c r="F81" s="85">
        <v>0</v>
      </c>
      <c r="G81" s="85">
        <f>417.5228-178.1888</f>
        <v>239.33400000000003</v>
      </c>
      <c r="H81" s="85">
        <v>0</v>
      </c>
      <c r="I81" s="85">
        <v>0</v>
      </c>
      <c r="J81" s="100"/>
      <c r="K81" s="21"/>
      <c r="L81" s="105"/>
      <c r="M81" s="105"/>
    </row>
    <row r="82" spans="1:13" s="106" customFormat="1" ht="15" customHeight="1">
      <c r="A82" s="96">
        <f>A81+1</f>
        <v>50</v>
      </c>
      <c r="B82" s="104" t="s">
        <v>3</v>
      </c>
      <c r="C82" s="85">
        <f>SUM(D82:I82)</f>
        <v>2264.0860000000002</v>
      </c>
      <c r="D82" s="85">
        <v>522</v>
      </c>
      <c r="E82" s="85">
        <f>530-530</f>
        <v>0</v>
      </c>
      <c r="F82" s="85">
        <v>1000</v>
      </c>
      <c r="G82" s="85">
        <f>520+110.02+529.5888-417.5228</f>
        <v>742.086</v>
      </c>
      <c r="H82" s="85">
        <v>0</v>
      </c>
      <c r="I82" s="85">
        <v>0</v>
      </c>
      <c r="J82" s="100"/>
      <c r="K82" s="21"/>
      <c r="L82" s="105"/>
      <c r="M82" s="105"/>
    </row>
    <row r="83" spans="1:13" s="106" customFormat="1" ht="15" customHeight="1">
      <c r="A83" s="96">
        <f>A82+1</f>
        <v>51</v>
      </c>
      <c r="B83" s="104" t="s">
        <v>5</v>
      </c>
      <c r="C83" s="85">
        <f>SUM(D83:I83)</f>
        <v>2438</v>
      </c>
      <c r="D83" s="85">
        <v>918</v>
      </c>
      <c r="E83" s="85">
        <v>0</v>
      </c>
      <c r="F83" s="85">
        <v>1000</v>
      </c>
      <c r="G83" s="85">
        <v>520</v>
      </c>
      <c r="H83" s="85">
        <v>0</v>
      </c>
      <c r="I83" s="86">
        <v>0</v>
      </c>
      <c r="J83" s="100"/>
      <c r="K83" s="21"/>
      <c r="L83" s="105"/>
      <c r="M83" s="105"/>
    </row>
    <row r="84" spans="1:13" s="106" customFormat="1" ht="15" customHeight="1">
      <c r="A84" s="96">
        <f>A83+1</f>
        <v>52</v>
      </c>
      <c r="B84" s="104" t="s">
        <v>4</v>
      </c>
      <c r="C84" s="85">
        <f>SUM(D84:I84)</f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6">
        <v>0</v>
      </c>
      <c r="J84" s="100"/>
      <c r="K84" s="21"/>
      <c r="L84" s="105"/>
      <c r="M84" s="105"/>
    </row>
    <row r="85" spans="1:13" s="81" customFormat="1" ht="15" customHeight="1">
      <c r="A85" s="90"/>
      <c r="B85" s="83"/>
      <c r="C85" s="73"/>
      <c r="D85" s="92"/>
      <c r="E85" s="92"/>
      <c r="F85" s="92"/>
      <c r="G85" s="92"/>
      <c r="H85" s="92"/>
      <c r="I85" s="95"/>
      <c r="J85" s="100"/>
      <c r="K85" s="7"/>
      <c r="L85" s="80"/>
      <c r="M85" s="80"/>
    </row>
    <row r="86" spans="1:13" s="106" customFormat="1" ht="50.25" customHeight="1">
      <c r="A86" s="107">
        <f>A84+1</f>
        <v>53</v>
      </c>
      <c r="B86" s="116" t="s">
        <v>24</v>
      </c>
      <c r="C86" s="98">
        <f>SUM(D86:I86)</f>
        <v>14100</v>
      </c>
      <c r="D86" s="98">
        <f aca="true" t="shared" si="23" ref="D86:I86">SUM(D87)</f>
        <v>2000</v>
      </c>
      <c r="E86" s="98">
        <f t="shared" si="23"/>
        <v>2300</v>
      </c>
      <c r="F86" s="98">
        <f t="shared" si="23"/>
        <v>2300</v>
      </c>
      <c r="G86" s="98">
        <f t="shared" si="23"/>
        <v>2400</v>
      </c>
      <c r="H86" s="98">
        <f t="shared" si="23"/>
        <v>2500</v>
      </c>
      <c r="I86" s="99">
        <f t="shared" si="23"/>
        <v>2600</v>
      </c>
      <c r="J86" s="100" t="s">
        <v>48</v>
      </c>
      <c r="K86" s="21"/>
      <c r="L86" s="105"/>
      <c r="M86" s="105"/>
    </row>
    <row r="87" spans="1:13" s="106" customFormat="1" ht="15" customHeight="1">
      <c r="A87" s="96">
        <f>A86+1</f>
        <v>54</v>
      </c>
      <c r="B87" s="104" t="s">
        <v>3</v>
      </c>
      <c r="C87" s="85">
        <f>SUM(D87:I87)</f>
        <v>14100</v>
      </c>
      <c r="D87" s="85">
        <v>2000</v>
      </c>
      <c r="E87" s="85">
        <v>2300</v>
      </c>
      <c r="F87" s="85">
        <f>2300</f>
        <v>2300</v>
      </c>
      <c r="G87" s="85">
        <v>2400</v>
      </c>
      <c r="H87" s="85">
        <v>2500</v>
      </c>
      <c r="I87" s="85">
        <v>2600</v>
      </c>
      <c r="J87" s="100"/>
      <c r="K87" s="21"/>
      <c r="L87" s="105"/>
      <c r="M87" s="105"/>
    </row>
    <row r="88" spans="1:13" s="81" customFormat="1" ht="15" customHeight="1">
      <c r="A88" s="49"/>
      <c r="B88" s="83"/>
      <c r="C88" s="98"/>
      <c r="D88" s="92"/>
      <c r="E88" s="92"/>
      <c r="F88" s="92"/>
      <c r="G88" s="92"/>
      <c r="H88" s="92"/>
      <c r="I88" s="95"/>
      <c r="J88" s="100"/>
      <c r="K88" s="7"/>
      <c r="L88" s="80"/>
      <c r="M88" s="80"/>
    </row>
    <row r="89" spans="1:13" s="106" customFormat="1" ht="47.25" customHeight="1">
      <c r="A89" s="107">
        <f>A87+1</f>
        <v>55</v>
      </c>
      <c r="B89" s="116" t="s">
        <v>25</v>
      </c>
      <c r="C89" s="98">
        <f>SUM(D89:I89)</f>
        <v>1000</v>
      </c>
      <c r="D89" s="98">
        <f aca="true" t="shared" si="24" ref="D89:I89">SUM(D90)</f>
        <v>1000</v>
      </c>
      <c r="E89" s="98">
        <f t="shared" si="24"/>
        <v>0</v>
      </c>
      <c r="F89" s="98">
        <f t="shared" si="24"/>
        <v>0</v>
      </c>
      <c r="G89" s="98">
        <f t="shared" si="24"/>
        <v>0</v>
      </c>
      <c r="H89" s="98">
        <f t="shared" si="24"/>
        <v>0</v>
      </c>
      <c r="I89" s="99">
        <f t="shared" si="24"/>
        <v>0</v>
      </c>
      <c r="J89" s="100" t="s">
        <v>50</v>
      </c>
      <c r="K89" s="21"/>
      <c r="L89" s="105"/>
      <c r="M89" s="105"/>
    </row>
    <row r="90" spans="1:13" s="106" customFormat="1" ht="15" customHeight="1">
      <c r="A90" s="96">
        <f>A89+1</f>
        <v>56</v>
      </c>
      <c r="B90" s="104" t="s">
        <v>3</v>
      </c>
      <c r="C90" s="85">
        <f>SUM(D90:I90)</f>
        <v>1000</v>
      </c>
      <c r="D90" s="85">
        <v>1000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100"/>
      <c r="K90" s="21"/>
      <c r="L90" s="105"/>
      <c r="M90" s="105"/>
    </row>
    <row r="91" spans="1:13" s="81" customFormat="1" ht="15" customHeight="1">
      <c r="A91" s="90"/>
      <c r="B91" s="83"/>
      <c r="C91" s="72"/>
      <c r="D91" s="92"/>
      <c r="E91" s="92"/>
      <c r="F91" s="92"/>
      <c r="G91" s="92"/>
      <c r="H91" s="92"/>
      <c r="I91" s="95"/>
      <c r="J91" s="79"/>
      <c r="K91" s="7"/>
      <c r="L91" s="80"/>
      <c r="M91" s="80"/>
    </row>
    <row r="92" spans="1:13" s="81" customFormat="1" ht="121.5" customHeight="1">
      <c r="A92" s="107">
        <f>A90+1</f>
        <v>57</v>
      </c>
      <c r="B92" s="116" t="s">
        <v>54</v>
      </c>
      <c r="C92" s="98">
        <f>SUM(D92:I92)</f>
        <v>2007.6165200000003</v>
      </c>
      <c r="D92" s="98">
        <f aca="true" t="shared" si="25" ref="D92:I92">SUM(D93:D93)</f>
        <v>817.9073200000001</v>
      </c>
      <c r="E92" s="98">
        <f t="shared" si="25"/>
        <v>886</v>
      </c>
      <c r="F92" s="98">
        <f t="shared" si="25"/>
        <v>99.907</v>
      </c>
      <c r="G92" s="98">
        <f t="shared" si="25"/>
        <v>203.8022</v>
      </c>
      <c r="H92" s="98">
        <f t="shared" si="25"/>
        <v>0</v>
      </c>
      <c r="I92" s="99">
        <f t="shared" si="25"/>
        <v>0</v>
      </c>
      <c r="J92" s="100" t="s">
        <v>51</v>
      </c>
      <c r="K92" s="7"/>
      <c r="L92" s="80"/>
      <c r="M92" s="80"/>
    </row>
    <row r="93" spans="1:13" s="81" customFormat="1" ht="15" customHeight="1">
      <c r="A93" s="96">
        <f>A92+1</f>
        <v>58</v>
      </c>
      <c r="B93" s="104" t="s">
        <v>3</v>
      </c>
      <c r="C93" s="85">
        <f>SUM(D93:I93)</f>
        <v>2007.6165200000003</v>
      </c>
      <c r="D93" s="85">
        <f>4097.64-3376.09268+96.36</f>
        <v>817.9073200000001</v>
      </c>
      <c r="E93" s="85">
        <f>800+86</f>
        <v>886</v>
      </c>
      <c r="F93" s="85">
        <f>0+99.907</f>
        <v>99.907</v>
      </c>
      <c r="G93" s="85">
        <f>31.3392+172.463</f>
        <v>203.8022</v>
      </c>
      <c r="H93" s="85">
        <v>0</v>
      </c>
      <c r="I93" s="85">
        <v>0</v>
      </c>
      <c r="J93" s="100"/>
      <c r="K93" s="7"/>
      <c r="L93" s="80"/>
      <c r="M93" s="80"/>
    </row>
    <row r="94" spans="1:13" s="81" customFormat="1" ht="15" customHeight="1">
      <c r="A94" s="90"/>
      <c r="B94" s="83"/>
      <c r="C94" s="72"/>
      <c r="D94" s="92"/>
      <c r="E94" s="92"/>
      <c r="F94" s="92"/>
      <c r="G94" s="92"/>
      <c r="H94" s="92"/>
      <c r="I94" s="95"/>
      <c r="J94" s="79"/>
      <c r="K94" s="7"/>
      <c r="L94" s="80"/>
      <c r="M94" s="80"/>
    </row>
    <row r="95" spans="1:13" s="81" customFormat="1" ht="53.25" customHeight="1">
      <c r="A95" s="107">
        <f>A93+1</f>
        <v>59</v>
      </c>
      <c r="B95" s="116" t="s">
        <v>26</v>
      </c>
      <c r="C95" s="98">
        <f>SUM(D95:I95)</f>
        <v>43195.6022</v>
      </c>
      <c r="D95" s="98">
        <f aca="true" t="shared" si="26" ref="D95:I95">SUM(D96:D97)</f>
        <v>11469.9</v>
      </c>
      <c r="E95" s="98">
        <f t="shared" si="26"/>
        <v>14060.864</v>
      </c>
      <c r="F95" s="98">
        <f t="shared" si="26"/>
        <v>6646.502999999999</v>
      </c>
      <c r="G95" s="98">
        <f t="shared" si="26"/>
        <v>11018.335200000001</v>
      </c>
      <c r="H95" s="98">
        <f t="shared" si="26"/>
        <v>0</v>
      </c>
      <c r="I95" s="99">
        <f t="shared" si="26"/>
        <v>0</v>
      </c>
      <c r="J95" s="100">
        <v>27</v>
      </c>
      <c r="K95" s="7"/>
      <c r="L95" s="80"/>
      <c r="M95" s="80"/>
    </row>
    <row r="96" spans="1:13" s="81" customFormat="1" ht="15" customHeight="1">
      <c r="A96" s="96">
        <f>A95+1</f>
        <v>60</v>
      </c>
      <c r="B96" s="104" t="s">
        <v>3</v>
      </c>
      <c r="C96" s="85">
        <f>SUM(D96:I96)</f>
        <v>43195.6022</v>
      </c>
      <c r="D96" s="85">
        <f>11855-385.1</f>
        <v>11469.9</v>
      </c>
      <c r="E96" s="85">
        <f>12861.089+1199.775</f>
        <v>14060.864</v>
      </c>
      <c r="F96" s="85">
        <f>9714.8-3068.297</f>
        <v>6646.502999999999</v>
      </c>
      <c r="G96" s="85">
        <f>14605.6-3587.2648+2368.62-2368.62</f>
        <v>11018.335200000001</v>
      </c>
      <c r="H96" s="85">
        <v>0</v>
      </c>
      <c r="I96" s="85">
        <v>0</v>
      </c>
      <c r="J96" s="100"/>
      <c r="K96" s="7"/>
      <c r="L96" s="80"/>
      <c r="M96" s="80"/>
    </row>
    <row r="97" spans="1:13" s="81" customFormat="1" ht="15" customHeight="1">
      <c r="A97" s="96">
        <f>A96+1</f>
        <v>61</v>
      </c>
      <c r="B97" s="104" t="s">
        <v>5</v>
      </c>
      <c r="C97" s="85">
        <f>SUM(D97:I97)</f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6">
        <v>0</v>
      </c>
      <c r="J97" s="100"/>
      <c r="K97" s="7"/>
      <c r="L97" s="80"/>
      <c r="M97" s="80"/>
    </row>
    <row r="98" spans="1:13" s="81" customFormat="1" ht="15" customHeight="1">
      <c r="A98" s="90"/>
      <c r="B98" s="104"/>
      <c r="C98" s="72"/>
      <c r="D98" s="92"/>
      <c r="E98" s="92"/>
      <c r="F98" s="92"/>
      <c r="G98" s="92"/>
      <c r="H98" s="92"/>
      <c r="I98" s="95"/>
      <c r="J98" s="79"/>
      <c r="K98" s="7"/>
      <c r="L98" s="80"/>
      <c r="M98" s="80"/>
    </row>
    <row r="99" spans="1:13" s="111" customFormat="1" ht="47.25">
      <c r="A99" s="107">
        <f>A97+1</f>
        <v>62</v>
      </c>
      <c r="B99" s="120" t="s">
        <v>27</v>
      </c>
      <c r="C99" s="98">
        <f>SUM(D99:I99)</f>
        <v>11919.07</v>
      </c>
      <c r="D99" s="98">
        <f aca="true" t="shared" si="27" ref="D99:I99">SUM(D100:D100)</f>
        <v>2410</v>
      </c>
      <c r="E99" s="98">
        <f t="shared" si="27"/>
        <v>1494</v>
      </c>
      <c r="F99" s="98">
        <f t="shared" si="27"/>
        <v>540</v>
      </c>
      <c r="G99" s="98">
        <f t="shared" si="27"/>
        <v>3475.07</v>
      </c>
      <c r="H99" s="98">
        <f t="shared" si="27"/>
        <v>0</v>
      </c>
      <c r="I99" s="99">
        <f t="shared" si="27"/>
        <v>4000</v>
      </c>
      <c r="J99" s="100" t="s">
        <v>52</v>
      </c>
      <c r="K99" s="109"/>
      <c r="L99" s="110"/>
      <c r="M99" s="110"/>
    </row>
    <row r="100" spans="1:13" s="106" customFormat="1" ht="15" customHeight="1">
      <c r="A100" s="96">
        <f>A99+1</f>
        <v>63</v>
      </c>
      <c r="B100" s="104" t="s">
        <v>3</v>
      </c>
      <c r="C100" s="85">
        <f>SUM(D100:I100)</f>
        <v>11919.07</v>
      </c>
      <c r="D100" s="85">
        <f>1600+710+100</f>
        <v>2410</v>
      </c>
      <c r="E100" s="85">
        <f>1250+75.7+168.3</f>
        <v>1494</v>
      </c>
      <c r="F100" s="85">
        <f>0+540</f>
        <v>540</v>
      </c>
      <c r="G100" s="85">
        <f>4000-524.93</f>
        <v>3475.07</v>
      </c>
      <c r="H100" s="85">
        <v>0</v>
      </c>
      <c r="I100" s="85">
        <v>4000</v>
      </c>
      <c r="J100" s="100"/>
      <c r="K100" s="21"/>
      <c r="L100" s="105"/>
      <c r="M100" s="105"/>
    </row>
    <row r="101" spans="1:13" s="81" customFormat="1" ht="15" customHeight="1">
      <c r="A101" s="90"/>
      <c r="B101" s="115"/>
      <c r="C101" s="72"/>
      <c r="D101" s="92"/>
      <c r="E101" s="92"/>
      <c r="F101" s="92"/>
      <c r="G101" s="92"/>
      <c r="H101" s="92"/>
      <c r="I101" s="95"/>
      <c r="J101" s="79"/>
      <c r="K101" s="7"/>
      <c r="L101" s="80"/>
      <c r="M101" s="80"/>
    </row>
    <row r="102" spans="1:13" s="81" customFormat="1" ht="124.5" customHeight="1">
      <c r="A102" s="107">
        <f>A100+1</f>
        <v>64</v>
      </c>
      <c r="B102" s="116" t="s">
        <v>28</v>
      </c>
      <c r="C102" s="98">
        <f>SUM(D102:I102)</f>
        <v>4646.8</v>
      </c>
      <c r="D102" s="98">
        <f aca="true" t="shared" si="28" ref="D102:I102">SUM(D103:D104)</f>
        <v>781.4</v>
      </c>
      <c r="E102" s="98">
        <f t="shared" si="28"/>
        <v>517.5</v>
      </c>
      <c r="F102" s="98">
        <f t="shared" si="28"/>
        <v>739.3</v>
      </c>
      <c r="G102" s="98">
        <f t="shared" si="28"/>
        <v>743.3000000000001</v>
      </c>
      <c r="H102" s="98">
        <f t="shared" si="28"/>
        <v>914.4</v>
      </c>
      <c r="I102" s="98">
        <f t="shared" si="28"/>
        <v>950.9</v>
      </c>
      <c r="J102" s="100">
        <v>23</v>
      </c>
      <c r="K102" s="121"/>
      <c r="L102" s="80"/>
      <c r="M102" s="80"/>
    </row>
    <row r="103" spans="1:13" s="81" customFormat="1" ht="15" customHeight="1">
      <c r="A103" s="96">
        <f>A102+1</f>
        <v>65</v>
      </c>
      <c r="B103" s="104" t="s">
        <v>3</v>
      </c>
      <c r="C103" s="98">
        <f>SUM(D103:I103)</f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100"/>
      <c r="K103" s="7"/>
      <c r="L103" s="80"/>
      <c r="M103" s="80"/>
    </row>
    <row r="104" spans="1:13" s="81" customFormat="1" ht="15" customHeight="1">
      <c r="A104" s="96">
        <f>A103+1</f>
        <v>66</v>
      </c>
      <c r="B104" s="104" t="s">
        <v>5</v>
      </c>
      <c r="C104" s="98">
        <f>SUM(D104:I104)</f>
        <v>4646.8</v>
      </c>
      <c r="D104" s="85">
        <v>781.4</v>
      </c>
      <c r="E104" s="85">
        <f>739.3-221.8</f>
        <v>517.5</v>
      </c>
      <c r="F104" s="85">
        <f>739.3</f>
        <v>739.3</v>
      </c>
      <c r="G104" s="85">
        <f>879.2-135.9</f>
        <v>743.3000000000001</v>
      </c>
      <c r="H104" s="85">
        <v>914.4</v>
      </c>
      <c r="I104" s="86">
        <v>950.9</v>
      </c>
      <c r="J104" s="100"/>
      <c r="K104" s="7"/>
      <c r="L104" s="80"/>
      <c r="M104" s="80"/>
    </row>
    <row r="105" spans="1:13" s="81" customFormat="1" ht="15" customHeight="1">
      <c r="A105" s="90"/>
      <c r="B105" s="94"/>
      <c r="C105" s="72"/>
      <c r="D105" s="92"/>
      <c r="E105" s="92"/>
      <c r="F105" s="92"/>
      <c r="G105" s="92"/>
      <c r="H105" s="92"/>
      <c r="I105" s="95"/>
      <c r="J105" s="79"/>
      <c r="K105" s="7"/>
      <c r="L105" s="80"/>
      <c r="M105" s="80"/>
    </row>
    <row r="106" spans="1:13" s="81" customFormat="1" ht="68.25" customHeight="1">
      <c r="A106" s="107">
        <f>A104+1</f>
        <v>67</v>
      </c>
      <c r="B106" s="116" t="s">
        <v>29</v>
      </c>
      <c r="C106" s="98">
        <f>SUM(D106:I106)</f>
        <v>1481.289</v>
      </c>
      <c r="D106" s="98">
        <f aca="true" t="shared" si="29" ref="D106:I106">SUM(D107:D109)</f>
        <v>1481.289</v>
      </c>
      <c r="E106" s="98">
        <f t="shared" si="29"/>
        <v>0</v>
      </c>
      <c r="F106" s="98">
        <f t="shared" si="29"/>
        <v>0</v>
      </c>
      <c r="G106" s="98">
        <f t="shared" si="29"/>
        <v>0</v>
      </c>
      <c r="H106" s="98">
        <f t="shared" si="29"/>
        <v>0</v>
      </c>
      <c r="I106" s="99">
        <f t="shared" si="29"/>
        <v>0</v>
      </c>
      <c r="J106" s="100">
        <v>28</v>
      </c>
      <c r="K106" s="121"/>
      <c r="L106" s="80"/>
      <c r="M106" s="80"/>
    </row>
    <row r="107" spans="1:13" s="81" customFormat="1" ht="15" customHeight="1">
      <c r="A107" s="96">
        <f>A106+1</f>
        <v>68</v>
      </c>
      <c r="B107" s="104" t="s">
        <v>3</v>
      </c>
      <c r="C107" s="85">
        <f>SUM(D107:I107)</f>
        <v>329.8</v>
      </c>
      <c r="D107" s="85">
        <f>500-170.2</f>
        <v>329.8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100"/>
      <c r="K107" s="7"/>
      <c r="L107" s="80"/>
      <c r="M107" s="80"/>
    </row>
    <row r="108" spans="1:13" s="81" customFormat="1" ht="15" customHeight="1">
      <c r="A108" s="96">
        <f>A107+1</f>
        <v>69</v>
      </c>
      <c r="B108" s="104" t="s">
        <v>5</v>
      </c>
      <c r="C108" s="85">
        <f>SUM(D108:I108)</f>
        <v>1151.489</v>
      </c>
      <c r="D108" s="85">
        <v>1151.489</v>
      </c>
      <c r="E108" s="85">
        <v>0</v>
      </c>
      <c r="F108" s="85">
        <v>0</v>
      </c>
      <c r="G108" s="85">
        <v>0</v>
      </c>
      <c r="H108" s="85">
        <v>0</v>
      </c>
      <c r="I108" s="86">
        <v>0</v>
      </c>
      <c r="J108" s="100"/>
      <c r="K108" s="7"/>
      <c r="L108" s="80"/>
      <c r="M108" s="80"/>
    </row>
    <row r="109" spans="1:13" s="81" customFormat="1" ht="15" customHeight="1">
      <c r="A109" s="96">
        <f>A108+1</f>
        <v>70</v>
      </c>
      <c r="B109" s="104" t="s">
        <v>4</v>
      </c>
      <c r="C109" s="85">
        <f>SUM(D109:I109)</f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6">
        <v>0</v>
      </c>
      <c r="J109" s="100"/>
      <c r="K109" s="7"/>
      <c r="L109" s="80"/>
      <c r="M109" s="80"/>
    </row>
    <row r="110" spans="1:13" s="81" customFormat="1" ht="15" customHeight="1">
      <c r="A110" s="90"/>
      <c r="B110" s="115"/>
      <c r="C110" s="72"/>
      <c r="D110" s="92"/>
      <c r="E110" s="92"/>
      <c r="F110" s="92"/>
      <c r="G110" s="92"/>
      <c r="H110" s="92"/>
      <c r="I110" s="95"/>
      <c r="J110" s="79"/>
      <c r="K110" s="7"/>
      <c r="L110" s="80"/>
      <c r="M110" s="80"/>
    </row>
    <row r="111" spans="1:13" s="106" customFormat="1" ht="78.75">
      <c r="A111" s="107">
        <f>A109+1</f>
        <v>71</v>
      </c>
      <c r="B111" s="116" t="s">
        <v>95</v>
      </c>
      <c r="C111" s="98">
        <f>SUM(D111:I111)</f>
        <v>0</v>
      </c>
      <c r="D111" s="98">
        <f aca="true" t="shared" si="30" ref="D111:I111">SUM(D112:D114)</f>
        <v>0</v>
      </c>
      <c r="E111" s="98">
        <f t="shared" si="30"/>
        <v>0</v>
      </c>
      <c r="F111" s="98">
        <f t="shared" si="30"/>
        <v>0</v>
      </c>
      <c r="G111" s="98">
        <f t="shared" si="30"/>
        <v>0</v>
      </c>
      <c r="H111" s="98">
        <f t="shared" si="30"/>
        <v>0</v>
      </c>
      <c r="I111" s="99">
        <f t="shared" si="30"/>
        <v>0</v>
      </c>
      <c r="J111" s="100">
        <v>25</v>
      </c>
      <c r="K111" s="121"/>
      <c r="L111" s="105"/>
      <c r="M111" s="105"/>
    </row>
    <row r="112" spans="1:13" s="81" customFormat="1" ht="15" customHeight="1">
      <c r="A112" s="96">
        <f>A111+1</f>
        <v>72</v>
      </c>
      <c r="B112" s="104" t="s">
        <v>3</v>
      </c>
      <c r="C112" s="85">
        <f>SUM(D112:I112)</f>
        <v>0</v>
      </c>
      <c r="D112" s="85">
        <v>0</v>
      </c>
      <c r="E112" s="85">
        <f>2600-2600</f>
        <v>0</v>
      </c>
      <c r="F112" s="85">
        <v>0</v>
      </c>
      <c r="G112" s="85">
        <v>0</v>
      </c>
      <c r="H112" s="85">
        <v>0</v>
      </c>
      <c r="I112" s="86">
        <v>0</v>
      </c>
      <c r="J112" s="100"/>
      <c r="K112" s="7"/>
      <c r="L112" s="80"/>
      <c r="M112" s="80"/>
    </row>
    <row r="113" spans="1:13" s="81" customFormat="1" ht="15" customHeight="1">
      <c r="A113" s="96">
        <f>A112+1</f>
        <v>73</v>
      </c>
      <c r="B113" s="104" t="s">
        <v>5</v>
      </c>
      <c r="C113" s="85">
        <f>SUM(D113:I113)</f>
        <v>0</v>
      </c>
      <c r="D113" s="85">
        <v>0</v>
      </c>
      <c r="E113" s="85">
        <v>0</v>
      </c>
      <c r="F113" s="85">
        <v>0</v>
      </c>
      <c r="G113" s="85">
        <v>0</v>
      </c>
      <c r="H113" s="85">
        <v>0</v>
      </c>
      <c r="I113" s="86">
        <v>0</v>
      </c>
      <c r="J113" s="100"/>
      <c r="K113" s="7"/>
      <c r="L113" s="80"/>
      <c r="M113" s="80"/>
    </row>
    <row r="114" spans="1:13" s="81" customFormat="1" ht="15" customHeight="1">
      <c r="A114" s="96">
        <f>A113+1</f>
        <v>74</v>
      </c>
      <c r="B114" s="104" t="s">
        <v>4</v>
      </c>
      <c r="C114" s="85">
        <f>SUM(D114:I114)</f>
        <v>0</v>
      </c>
      <c r="D114" s="85">
        <v>0</v>
      </c>
      <c r="E114" s="85">
        <v>0</v>
      </c>
      <c r="F114" s="85">
        <v>0</v>
      </c>
      <c r="G114" s="85">
        <v>0</v>
      </c>
      <c r="H114" s="85">
        <v>0</v>
      </c>
      <c r="I114" s="86">
        <v>0</v>
      </c>
      <c r="J114" s="100"/>
      <c r="K114" s="7"/>
      <c r="L114" s="80"/>
      <c r="M114" s="80"/>
    </row>
    <row r="115" spans="1:13" s="81" customFormat="1" ht="15" customHeight="1">
      <c r="A115" s="90"/>
      <c r="B115" s="115"/>
      <c r="C115" s="73"/>
      <c r="D115" s="92"/>
      <c r="E115" s="92"/>
      <c r="F115" s="92"/>
      <c r="G115" s="92"/>
      <c r="H115" s="92"/>
      <c r="I115" s="95"/>
      <c r="J115" s="79"/>
      <c r="K115" s="7"/>
      <c r="L115" s="80"/>
      <c r="M115" s="80"/>
    </row>
    <row r="116" spans="1:13" s="81" customFormat="1" ht="99" customHeight="1">
      <c r="A116" s="107">
        <f>A114+1</f>
        <v>75</v>
      </c>
      <c r="B116" s="116" t="s">
        <v>68</v>
      </c>
      <c r="C116" s="98">
        <f>SUM(D116:I116)</f>
        <v>146712.16999999998</v>
      </c>
      <c r="D116" s="98">
        <f aca="true" t="shared" si="31" ref="D116:I116">SUM(D117:D120)</f>
        <v>103839.38</v>
      </c>
      <c r="E116" s="98">
        <f t="shared" si="31"/>
        <v>42872.78999999999</v>
      </c>
      <c r="F116" s="98">
        <f t="shared" si="31"/>
        <v>0</v>
      </c>
      <c r="G116" s="98">
        <f t="shared" si="31"/>
        <v>0</v>
      </c>
      <c r="H116" s="98">
        <f t="shared" si="31"/>
        <v>0</v>
      </c>
      <c r="I116" s="99">
        <f t="shared" si="31"/>
        <v>0</v>
      </c>
      <c r="J116" s="100" t="s">
        <v>69</v>
      </c>
      <c r="K116" s="121"/>
      <c r="L116" s="80"/>
      <c r="M116" s="80"/>
    </row>
    <row r="117" spans="1:13" s="81" customFormat="1" ht="30" customHeight="1">
      <c r="A117" s="96">
        <f>A116+1</f>
        <v>76</v>
      </c>
      <c r="B117" s="104" t="s">
        <v>80</v>
      </c>
      <c r="C117" s="85">
        <f>SUM(D117:I117)</f>
        <v>2857.138</v>
      </c>
      <c r="D117" s="85">
        <v>0</v>
      </c>
      <c r="E117" s="85">
        <f>2857.138</f>
        <v>2857.138</v>
      </c>
      <c r="F117" s="85">
        <v>0</v>
      </c>
      <c r="G117" s="85">
        <v>0</v>
      </c>
      <c r="H117" s="85">
        <v>0</v>
      </c>
      <c r="I117" s="86">
        <v>0</v>
      </c>
      <c r="J117" s="100"/>
      <c r="K117" s="7"/>
      <c r="L117" s="80"/>
      <c r="M117" s="80"/>
    </row>
    <row r="118" spans="1:13" s="81" customFormat="1" ht="15" customHeight="1">
      <c r="A118" s="96">
        <f>A117+1</f>
        <v>77</v>
      </c>
      <c r="B118" s="104" t="s">
        <v>3</v>
      </c>
      <c r="C118" s="85">
        <f>SUM(D118:I118)</f>
        <v>43156.509600000005</v>
      </c>
      <c r="D118" s="85">
        <f>30279.2+872.614</f>
        <v>31151.814000000002</v>
      </c>
      <c r="E118" s="85">
        <v>12004.6956</v>
      </c>
      <c r="F118" s="85">
        <v>0</v>
      </c>
      <c r="G118" s="85">
        <v>0</v>
      </c>
      <c r="H118" s="85">
        <v>0</v>
      </c>
      <c r="I118" s="86">
        <v>0</v>
      </c>
      <c r="J118" s="100"/>
      <c r="K118" s="7"/>
      <c r="L118" s="80"/>
      <c r="M118" s="80"/>
    </row>
    <row r="119" spans="1:13" s="81" customFormat="1" ht="15" customHeight="1">
      <c r="A119" s="96">
        <f>A118+1</f>
        <v>78</v>
      </c>
      <c r="B119" s="104" t="s">
        <v>5</v>
      </c>
      <c r="C119" s="85">
        <f>SUM(D119:I119)</f>
        <v>100698.5224</v>
      </c>
      <c r="D119" s="85">
        <f>72687.566</f>
        <v>72687.566</v>
      </c>
      <c r="E119" s="85">
        <f>28010.9564</f>
        <v>28010.9564</v>
      </c>
      <c r="F119" s="85">
        <v>0</v>
      </c>
      <c r="G119" s="85">
        <v>0</v>
      </c>
      <c r="H119" s="85">
        <v>0</v>
      </c>
      <c r="I119" s="86">
        <v>0</v>
      </c>
      <c r="J119" s="100"/>
      <c r="K119" s="7"/>
      <c r="L119" s="80"/>
      <c r="M119" s="80"/>
    </row>
    <row r="120" spans="1:13" s="81" customFormat="1" ht="15" customHeight="1">
      <c r="A120" s="96">
        <f>A119+1</f>
        <v>79</v>
      </c>
      <c r="B120" s="104" t="s">
        <v>4</v>
      </c>
      <c r="C120" s="85">
        <f>SUM(D120:I120)</f>
        <v>0</v>
      </c>
      <c r="D120" s="85">
        <v>0</v>
      </c>
      <c r="E120" s="85">
        <v>0</v>
      </c>
      <c r="F120" s="85">
        <v>0</v>
      </c>
      <c r="G120" s="85">
        <v>0</v>
      </c>
      <c r="H120" s="85">
        <v>0</v>
      </c>
      <c r="I120" s="86">
        <v>0</v>
      </c>
      <c r="J120" s="100"/>
      <c r="K120" s="7"/>
      <c r="L120" s="80"/>
      <c r="M120" s="80"/>
    </row>
    <row r="121" spans="1:13" s="81" customFormat="1" ht="15" customHeight="1">
      <c r="A121" s="96"/>
      <c r="B121" s="115"/>
      <c r="C121" s="92"/>
      <c r="D121" s="92"/>
      <c r="E121" s="92"/>
      <c r="F121" s="92"/>
      <c r="G121" s="92"/>
      <c r="H121" s="92"/>
      <c r="I121" s="95"/>
      <c r="J121" s="100"/>
      <c r="K121" s="7"/>
      <c r="L121" s="80"/>
      <c r="M121" s="80"/>
    </row>
    <row r="122" spans="1:13" s="106" customFormat="1" ht="126">
      <c r="A122" s="107">
        <f>A120+1</f>
        <v>80</v>
      </c>
      <c r="B122" s="116" t="s">
        <v>59</v>
      </c>
      <c r="C122" s="98">
        <f>SUM(D122:I122)</f>
        <v>9242.06</v>
      </c>
      <c r="D122" s="98">
        <f aca="true" t="shared" si="32" ref="D122:I122">SUM(D123:D124)</f>
        <v>1488.8</v>
      </c>
      <c r="E122" s="98">
        <f t="shared" si="32"/>
        <v>894.86</v>
      </c>
      <c r="F122" s="98">
        <f t="shared" si="32"/>
        <v>1541.4</v>
      </c>
      <c r="G122" s="98">
        <f t="shared" si="32"/>
        <v>1703.3</v>
      </c>
      <c r="H122" s="98">
        <f t="shared" si="32"/>
        <v>1771.4</v>
      </c>
      <c r="I122" s="99">
        <f t="shared" si="32"/>
        <v>1842.3</v>
      </c>
      <c r="J122" s="100" t="s">
        <v>48</v>
      </c>
      <c r="K122" s="21"/>
      <c r="L122" s="105"/>
      <c r="M122" s="105"/>
    </row>
    <row r="123" spans="1:13" s="106" customFormat="1" ht="15" customHeight="1">
      <c r="A123" s="96">
        <f>A122+1</f>
        <v>81</v>
      </c>
      <c r="B123" s="104" t="s">
        <v>3</v>
      </c>
      <c r="C123" s="85">
        <f>SUM(D123:I123)</f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100"/>
      <c r="K123" s="21"/>
      <c r="L123" s="105"/>
      <c r="M123" s="105"/>
    </row>
    <row r="124" spans="1:13" s="106" customFormat="1" ht="15" customHeight="1">
      <c r="A124" s="96">
        <f>A123+1</f>
        <v>82</v>
      </c>
      <c r="B124" s="104" t="s">
        <v>5</v>
      </c>
      <c r="C124" s="85">
        <f>SUM(D124:I124)</f>
        <v>9242.06</v>
      </c>
      <c r="D124" s="85">
        <v>1488.8</v>
      </c>
      <c r="E124" s="85">
        <f>1590.2-695.34</f>
        <v>894.86</v>
      </c>
      <c r="F124" s="85">
        <f>1541.4</f>
        <v>1541.4</v>
      </c>
      <c r="G124" s="85">
        <v>1703.3</v>
      </c>
      <c r="H124" s="85">
        <v>1771.4</v>
      </c>
      <c r="I124" s="85">
        <v>1842.3</v>
      </c>
      <c r="J124" s="100"/>
      <c r="K124" s="21"/>
      <c r="L124" s="105"/>
      <c r="M124" s="105"/>
    </row>
    <row r="125" spans="1:13" s="81" customFormat="1" ht="15" customHeight="1">
      <c r="A125" s="96"/>
      <c r="B125" s="115"/>
      <c r="C125" s="92"/>
      <c r="D125" s="92"/>
      <c r="E125" s="92"/>
      <c r="F125" s="92"/>
      <c r="G125" s="92"/>
      <c r="H125" s="92"/>
      <c r="I125" s="95"/>
      <c r="J125" s="100"/>
      <c r="K125" s="7"/>
      <c r="L125" s="80"/>
      <c r="M125" s="80"/>
    </row>
    <row r="126" spans="1:13" s="106" customFormat="1" ht="94.5">
      <c r="A126" s="107">
        <f>A124+1</f>
        <v>83</v>
      </c>
      <c r="B126" s="116" t="s">
        <v>62</v>
      </c>
      <c r="C126" s="98">
        <f>SUM(D126:I126)</f>
        <v>3540.9266799999996</v>
      </c>
      <c r="D126" s="98">
        <f aca="true" t="shared" si="33" ref="D126:I126">SUM(D127:D128)</f>
        <v>3540.9266799999996</v>
      </c>
      <c r="E126" s="98">
        <f t="shared" si="33"/>
        <v>0</v>
      </c>
      <c r="F126" s="98">
        <f t="shared" si="33"/>
        <v>0</v>
      </c>
      <c r="G126" s="98">
        <f t="shared" si="33"/>
        <v>0</v>
      </c>
      <c r="H126" s="98">
        <f t="shared" si="33"/>
        <v>0</v>
      </c>
      <c r="I126" s="99">
        <f t="shared" si="33"/>
        <v>0</v>
      </c>
      <c r="J126" s="100" t="s">
        <v>64</v>
      </c>
      <c r="K126" s="21"/>
      <c r="L126" s="105"/>
      <c r="M126" s="105"/>
    </row>
    <row r="127" spans="1:13" s="106" customFormat="1" ht="15" customHeight="1">
      <c r="A127" s="96">
        <f>A126+1</f>
        <v>84</v>
      </c>
      <c r="B127" s="104" t="s">
        <v>3</v>
      </c>
      <c r="C127" s="85">
        <f>SUM(D127:I127)</f>
        <v>354.09268</v>
      </c>
      <c r="D127" s="85">
        <v>354.09268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100"/>
      <c r="K127" s="21"/>
      <c r="L127" s="105"/>
      <c r="M127" s="105"/>
    </row>
    <row r="128" spans="1:13" s="106" customFormat="1" ht="15" customHeight="1">
      <c r="A128" s="96">
        <f>A127+1</f>
        <v>85</v>
      </c>
      <c r="B128" s="104" t="s">
        <v>5</v>
      </c>
      <c r="C128" s="85">
        <f>SUM(D128:I128)</f>
        <v>3186.834</v>
      </c>
      <c r="D128" s="85">
        <v>3186.834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100"/>
      <c r="K128" s="21"/>
      <c r="L128" s="105"/>
      <c r="M128" s="105"/>
    </row>
    <row r="129" spans="1:13" s="81" customFormat="1" ht="15" customHeight="1">
      <c r="A129" s="107"/>
      <c r="B129" s="104"/>
      <c r="C129" s="85"/>
      <c r="D129" s="85"/>
      <c r="E129" s="85"/>
      <c r="F129" s="85"/>
      <c r="G129" s="85"/>
      <c r="H129" s="85"/>
      <c r="I129" s="85"/>
      <c r="J129" s="100"/>
      <c r="K129" s="7"/>
      <c r="L129" s="80"/>
      <c r="M129" s="80"/>
    </row>
    <row r="130" spans="1:13" s="106" customFormat="1" ht="84.75" customHeight="1">
      <c r="A130" s="107">
        <f>A128+1</f>
        <v>86</v>
      </c>
      <c r="B130" s="116" t="s">
        <v>63</v>
      </c>
      <c r="C130" s="98">
        <f>SUM(D130:I130)</f>
        <v>1679.132</v>
      </c>
      <c r="D130" s="98">
        <f aca="true" t="shared" si="34" ref="D130:I130">SUM(D131:D132)</f>
        <v>1679.132</v>
      </c>
      <c r="E130" s="98">
        <f t="shared" si="34"/>
        <v>0</v>
      </c>
      <c r="F130" s="98">
        <f t="shared" si="34"/>
        <v>0</v>
      </c>
      <c r="G130" s="98">
        <f t="shared" si="34"/>
        <v>0</v>
      </c>
      <c r="H130" s="98">
        <f t="shared" si="34"/>
        <v>0</v>
      </c>
      <c r="I130" s="99">
        <f t="shared" si="34"/>
        <v>0</v>
      </c>
      <c r="J130" s="100" t="s">
        <v>64</v>
      </c>
      <c r="K130" s="21"/>
      <c r="L130" s="105"/>
      <c r="M130" s="105"/>
    </row>
    <row r="131" spans="1:13" s="106" customFormat="1" ht="15" customHeight="1">
      <c r="A131" s="96">
        <f>A130+1</f>
        <v>87</v>
      </c>
      <c r="B131" s="104" t="s">
        <v>3</v>
      </c>
      <c r="C131" s="85">
        <f>SUM(D131:I131)</f>
        <v>1000</v>
      </c>
      <c r="D131" s="85">
        <v>1000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100"/>
      <c r="K131" s="21"/>
      <c r="L131" s="105"/>
      <c r="M131" s="105"/>
    </row>
    <row r="132" spans="1:13" s="106" customFormat="1" ht="15" customHeight="1">
      <c r="A132" s="96">
        <f>A131+1</f>
        <v>88</v>
      </c>
      <c r="B132" s="104" t="s">
        <v>5</v>
      </c>
      <c r="C132" s="85">
        <f>SUM(D132:I132)</f>
        <v>679.132</v>
      </c>
      <c r="D132" s="85">
        <v>679.132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100"/>
      <c r="K132" s="21"/>
      <c r="L132" s="105"/>
      <c r="M132" s="105"/>
    </row>
    <row r="133" spans="1:13" s="106" customFormat="1" ht="15" customHeight="1">
      <c r="A133" s="96"/>
      <c r="B133" s="104"/>
      <c r="C133" s="85"/>
      <c r="D133" s="85"/>
      <c r="E133" s="85"/>
      <c r="F133" s="85"/>
      <c r="G133" s="85"/>
      <c r="H133" s="85"/>
      <c r="I133" s="85"/>
      <c r="J133" s="100"/>
      <c r="K133" s="21"/>
      <c r="L133" s="105"/>
      <c r="M133" s="105"/>
    </row>
    <row r="134" spans="1:13" s="111" customFormat="1" ht="204.75">
      <c r="A134" s="107">
        <f>A132+1</f>
        <v>89</v>
      </c>
      <c r="B134" s="120" t="s">
        <v>90</v>
      </c>
      <c r="C134" s="98">
        <f>SUM(D134:I134)</f>
        <v>20200.53654</v>
      </c>
      <c r="D134" s="98">
        <f aca="true" t="shared" si="35" ref="D134:I134">SUM(D135:D135)</f>
        <v>1115.35724</v>
      </c>
      <c r="E134" s="98">
        <f t="shared" si="35"/>
        <v>3552</v>
      </c>
      <c r="F134" s="98">
        <f t="shared" si="35"/>
        <v>1603.1792999999998</v>
      </c>
      <c r="G134" s="98">
        <f t="shared" si="35"/>
        <v>3830</v>
      </c>
      <c r="H134" s="98">
        <f t="shared" si="35"/>
        <v>5000</v>
      </c>
      <c r="I134" s="99">
        <f t="shared" si="35"/>
        <v>5100</v>
      </c>
      <c r="J134" s="100" t="s">
        <v>70</v>
      </c>
      <c r="K134" s="109"/>
      <c r="L134" s="110"/>
      <c r="M134" s="110"/>
    </row>
    <row r="135" spans="1:13" s="106" customFormat="1" ht="15" customHeight="1">
      <c r="A135" s="96">
        <f>A134+1</f>
        <v>90</v>
      </c>
      <c r="B135" s="104" t="s">
        <v>3</v>
      </c>
      <c r="C135" s="85">
        <f>SUM(D135:I135)</f>
        <v>20200.53654</v>
      </c>
      <c r="D135" s="85">
        <v>1115.35724</v>
      </c>
      <c r="E135" s="85">
        <v>3552</v>
      </c>
      <c r="F135" s="85">
        <f>4115.7-2512.5207</f>
        <v>1603.1792999999998</v>
      </c>
      <c r="G135" s="85">
        <f>4000-120-50</f>
        <v>3830</v>
      </c>
      <c r="H135" s="85">
        <v>5000</v>
      </c>
      <c r="I135" s="85">
        <v>5100</v>
      </c>
      <c r="J135" s="100"/>
      <c r="K135" s="21"/>
      <c r="L135" s="105"/>
      <c r="M135" s="105"/>
    </row>
    <row r="136" spans="1:13" s="106" customFormat="1" ht="15" customHeight="1">
      <c r="A136" s="96"/>
      <c r="B136" s="104"/>
      <c r="C136" s="85"/>
      <c r="D136" s="85"/>
      <c r="E136" s="85"/>
      <c r="F136" s="85"/>
      <c r="G136" s="85"/>
      <c r="H136" s="85"/>
      <c r="I136" s="86"/>
      <c r="J136" s="100"/>
      <c r="K136" s="21"/>
      <c r="L136" s="105"/>
      <c r="M136" s="105"/>
    </row>
    <row r="137" spans="1:13" s="111" customFormat="1" ht="36" customHeight="1">
      <c r="A137" s="96">
        <f>A135+1</f>
        <v>91</v>
      </c>
      <c r="B137" s="122" t="s">
        <v>72</v>
      </c>
      <c r="C137" s="98">
        <f>SUM(D137:I137)</f>
        <v>87253.51427999999</v>
      </c>
      <c r="D137" s="98">
        <f aca="true" t="shared" si="36" ref="D137:I137">SUM(D138:D139)</f>
        <v>0</v>
      </c>
      <c r="E137" s="98">
        <f t="shared" si="36"/>
        <v>15145.88571</v>
      </c>
      <c r="F137" s="98">
        <f t="shared" si="36"/>
        <v>16625.3</v>
      </c>
      <c r="G137" s="98">
        <f t="shared" si="36"/>
        <v>16322.42857</v>
      </c>
      <c r="H137" s="98">
        <f t="shared" si="36"/>
        <v>16860.1</v>
      </c>
      <c r="I137" s="99">
        <f t="shared" si="36"/>
        <v>22299.8</v>
      </c>
      <c r="J137" s="100" t="s">
        <v>73</v>
      </c>
      <c r="K137" s="109"/>
      <c r="L137" s="110"/>
      <c r="M137" s="110"/>
    </row>
    <row r="138" spans="1:13" s="106" customFormat="1" ht="15" customHeight="1">
      <c r="A138" s="96">
        <f>A137+1</f>
        <v>92</v>
      </c>
      <c r="B138" s="104" t="s">
        <v>3</v>
      </c>
      <c r="C138" s="85">
        <f>SUM(D138:I138)</f>
        <v>87094.01427999999</v>
      </c>
      <c r="D138" s="85">
        <v>0</v>
      </c>
      <c r="E138" s="85">
        <f>15158.1-12.21429</f>
        <v>15145.88571</v>
      </c>
      <c r="F138" s="85">
        <f>16000+625.3</f>
        <v>16625.3</v>
      </c>
      <c r="G138" s="85">
        <v>16162.92857</v>
      </c>
      <c r="H138" s="85">
        <v>16860.1</v>
      </c>
      <c r="I138" s="85">
        <v>22299.8</v>
      </c>
      <c r="J138" s="100"/>
      <c r="K138" s="21"/>
      <c r="L138" s="105"/>
      <c r="M138" s="105"/>
    </row>
    <row r="139" spans="1:13" s="106" customFormat="1" ht="15" customHeight="1">
      <c r="A139" s="96">
        <f>A138+1</f>
        <v>93</v>
      </c>
      <c r="B139" s="104" t="s">
        <v>5</v>
      </c>
      <c r="C139" s="85">
        <f>SUM(D139:I139)</f>
        <v>159.5</v>
      </c>
      <c r="D139" s="85">
        <v>0</v>
      </c>
      <c r="E139" s="85">
        <v>0</v>
      </c>
      <c r="F139" s="85">
        <v>0</v>
      </c>
      <c r="G139" s="85">
        <v>159.5</v>
      </c>
      <c r="H139" s="85">
        <v>0</v>
      </c>
      <c r="I139" s="86">
        <v>0</v>
      </c>
      <c r="J139" s="100"/>
      <c r="K139" s="21"/>
      <c r="L139" s="105"/>
      <c r="M139" s="105"/>
    </row>
    <row r="140" spans="1:13" s="106" customFormat="1" ht="15" customHeight="1">
      <c r="A140" s="96"/>
      <c r="B140" s="104"/>
      <c r="C140" s="85"/>
      <c r="D140" s="85"/>
      <c r="E140" s="85"/>
      <c r="F140" s="85"/>
      <c r="G140" s="85"/>
      <c r="H140" s="85"/>
      <c r="I140" s="86"/>
      <c r="J140" s="100"/>
      <c r="K140" s="21"/>
      <c r="L140" s="105"/>
      <c r="M140" s="105"/>
    </row>
    <row r="141" spans="1:13" s="106" customFormat="1" ht="113.25" customHeight="1">
      <c r="A141" s="96">
        <f>A139+1</f>
        <v>94</v>
      </c>
      <c r="B141" s="123" t="s">
        <v>84</v>
      </c>
      <c r="C141" s="98">
        <f>SUM(D141:I141)</f>
        <v>10500</v>
      </c>
      <c r="D141" s="98">
        <f aca="true" t="shared" si="37" ref="D141:I141">SUM(D142:D143)</f>
        <v>0</v>
      </c>
      <c r="E141" s="98">
        <f t="shared" si="37"/>
        <v>3000</v>
      </c>
      <c r="F141" s="98">
        <f t="shared" si="37"/>
        <v>1500</v>
      </c>
      <c r="G141" s="98">
        <f t="shared" si="37"/>
        <v>6000</v>
      </c>
      <c r="H141" s="98">
        <f t="shared" si="37"/>
        <v>0</v>
      </c>
      <c r="I141" s="99">
        <f t="shared" si="37"/>
        <v>0</v>
      </c>
      <c r="J141" s="100" t="s">
        <v>74</v>
      </c>
      <c r="K141" s="21"/>
      <c r="L141" s="105"/>
      <c r="M141" s="105"/>
    </row>
    <row r="142" spans="1:13" s="106" customFormat="1" ht="15" customHeight="1">
      <c r="A142" s="96">
        <f>A141+1</f>
        <v>95</v>
      </c>
      <c r="B142" s="124" t="s">
        <v>3</v>
      </c>
      <c r="C142" s="85">
        <f>SUM(D142:I142)</f>
        <v>10500</v>
      </c>
      <c r="D142" s="85">
        <v>0</v>
      </c>
      <c r="E142" s="85">
        <v>3000</v>
      </c>
      <c r="F142" s="85">
        <f>3000-1000-500</f>
        <v>1500</v>
      </c>
      <c r="G142" s="85">
        <v>6000</v>
      </c>
      <c r="H142" s="85">
        <v>0</v>
      </c>
      <c r="I142" s="85">
        <v>0</v>
      </c>
      <c r="J142" s="100"/>
      <c r="K142" s="21"/>
      <c r="L142" s="105"/>
      <c r="M142" s="105"/>
    </row>
    <row r="143" spans="1:13" s="106" customFormat="1" ht="15" customHeight="1">
      <c r="A143" s="96">
        <f>A142+1</f>
        <v>96</v>
      </c>
      <c r="B143" s="124" t="s">
        <v>5</v>
      </c>
      <c r="C143" s="85">
        <f>SUM(D143:I143)</f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6">
        <v>0</v>
      </c>
      <c r="J143" s="100"/>
      <c r="K143" s="21"/>
      <c r="L143" s="105"/>
      <c r="M143" s="105"/>
    </row>
    <row r="144" spans="1:13" s="106" customFormat="1" ht="15" customHeight="1">
      <c r="A144" s="96"/>
      <c r="B144" s="124"/>
      <c r="C144" s="85"/>
      <c r="D144" s="85"/>
      <c r="E144" s="85"/>
      <c r="F144" s="85"/>
      <c r="G144" s="85"/>
      <c r="H144" s="85"/>
      <c r="I144" s="86"/>
      <c r="J144" s="100"/>
      <c r="K144" s="21"/>
      <c r="L144" s="105"/>
      <c r="M144" s="105"/>
    </row>
    <row r="145" spans="1:13" s="111" customFormat="1" ht="83.25" customHeight="1">
      <c r="A145" s="96">
        <f>A143+1</f>
        <v>97</v>
      </c>
      <c r="B145" s="122" t="s">
        <v>89</v>
      </c>
      <c r="C145" s="98">
        <f>SUM(D145:I145)</f>
        <v>176.42872</v>
      </c>
      <c r="D145" s="98">
        <f aca="true" t="shared" si="38" ref="D145:I145">SUM(D146:D147)</f>
        <v>0</v>
      </c>
      <c r="E145" s="98">
        <f t="shared" si="38"/>
        <v>40.71429</v>
      </c>
      <c r="F145" s="98">
        <f t="shared" si="38"/>
        <v>70.143</v>
      </c>
      <c r="G145" s="98">
        <f t="shared" si="38"/>
        <v>65.57142999999999</v>
      </c>
      <c r="H145" s="98">
        <f t="shared" si="38"/>
        <v>0</v>
      </c>
      <c r="I145" s="99">
        <f t="shared" si="38"/>
        <v>0</v>
      </c>
      <c r="J145" s="100" t="s">
        <v>73</v>
      </c>
      <c r="K145" s="109"/>
      <c r="L145" s="110"/>
      <c r="M145" s="110"/>
    </row>
    <row r="146" spans="1:13" s="106" customFormat="1" ht="15" customHeight="1">
      <c r="A146" s="96">
        <f>A145+1</f>
        <v>98</v>
      </c>
      <c r="B146" s="104" t="s">
        <v>3</v>
      </c>
      <c r="C146" s="85">
        <f>SUM(D146:I146)</f>
        <v>52.92872</v>
      </c>
      <c r="D146" s="85">
        <v>0</v>
      </c>
      <c r="E146" s="85">
        <f>12.21429</f>
        <v>12.21429</v>
      </c>
      <c r="F146" s="85">
        <f>14.02+7.023</f>
        <v>21.043</v>
      </c>
      <c r="G146" s="85">
        <v>19.67143</v>
      </c>
      <c r="H146" s="85">
        <v>0</v>
      </c>
      <c r="I146" s="85">
        <v>0</v>
      </c>
      <c r="J146" s="100"/>
      <c r="K146" s="21"/>
      <c r="L146" s="105"/>
      <c r="M146" s="105"/>
    </row>
    <row r="147" spans="1:13" s="106" customFormat="1" ht="15" customHeight="1">
      <c r="A147" s="96">
        <f>A146+1</f>
        <v>99</v>
      </c>
      <c r="B147" s="104" t="s">
        <v>5</v>
      </c>
      <c r="C147" s="85">
        <f>SUM(D147:I147)</f>
        <v>123.5</v>
      </c>
      <c r="D147" s="85">
        <v>0</v>
      </c>
      <c r="E147" s="85">
        <f>28.5</f>
        <v>28.5</v>
      </c>
      <c r="F147" s="85">
        <v>49.1</v>
      </c>
      <c r="G147" s="85">
        <v>45.9</v>
      </c>
      <c r="H147" s="85">
        <v>0</v>
      </c>
      <c r="I147" s="85">
        <v>0</v>
      </c>
      <c r="J147" s="100"/>
      <c r="K147" s="21"/>
      <c r="L147" s="105"/>
      <c r="M147" s="105"/>
    </row>
    <row r="148" spans="1:13" s="106" customFormat="1" ht="15" customHeight="1">
      <c r="A148" s="96"/>
      <c r="B148" s="104"/>
      <c r="C148" s="85"/>
      <c r="D148" s="85"/>
      <c r="E148" s="85"/>
      <c r="F148" s="85"/>
      <c r="G148" s="85"/>
      <c r="H148" s="85"/>
      <c r="I148" s="86"/>
      <c r="J148" s="100"/>
      <c r="K148" s="21"/>
      <c r="L148" s="105"/>
      <c r="M148" s="105"/>
    </row>
    <row r="149" spans="1:13" s="106" customFormat="1" ht="96.75" customHeight="1">
      <c r="A149" s="96">
        <f>A147+1</f>
        <v>100</v>
      </c>
      <c r="B149" s="122" t="s">
        <v>76</v>
      </c>
      <c r="C149" s="98">
        <f>SUM(D149:I149)</f>
        <v>9590</v>
      </c>
      <c r="D149" s="98">
        <f aca="true" t="shared" si="39" ref="D149:I149">SUM(D150:D150)</f>
        <v>0</v>
      </c>
      <c r="E149" s="98">
        <f t="shared" si="39"/>
        <v>9590</v>
      </c>
      <c r="F149" s="98">
        <f t="shared" si="39"/>
        <v>0</v>
      </c>
      <c r="G149" s="98">
        <f t="shared" si="39"/>
        <v>0</v>
      </c>
      <c r="H149" s="98">
        <f t="shared" si="39"/>
        <v>0</v>
      </c>
      <c r="I149" s="99">
        <f t="shared" si="39"/>
        <v>0</v>
      </c>
      <c r="J149" s="100" t="s">
        <v>77</v>
      </c>
      <c r="K149" s="21"/>
      <c r="L149" s="105"/>
      <c r="M149" s="105"/>
    </row>
    <row r="150" spans="1:13" s="106" customFormat="1" ht="15" customHeight="1">
      <c r="A150" s="96">
        <f>A149+1</f>
        <v>101</v>
      </c>
      <c r="B150" s="104" t="s">
        <v>5</v>
      </c>
      <c r="C150" s="85">
        <f>SUM(D150:I150)</f>
        <v>9590</v>
      </c>
      <c r="D150" s="85">
        <v>0</v>
      </c>
      <c r="E150" s="85">
        <f>2801.5+7049.1-629+368.4</f>
        <v>9590</v>
      </c>
      <c r="F150" s="85">
        <v>0</v>
      </c>
      <c r="G150" s="85">
        <v>0</v>
      </c>
      <c r="H150" s="85">
        <v>0</v>
      </c>
      <c r="I150" s="85">
        <v>0</v>
      </c>
      <c r="J150" s="100"/>
      <c r="K150" s="21"/>
      <c r="L150" s="105"/>
      <c r="M150" s="105"/>
    </row>
    <row r="151" spans="1:13" s="106" customFormat="1" ht="15" customHeight="1">
      <c r="A151" s="96"/>
      <c r="B151" s="104"/>
      <c r="C151" s="85"/>
      <c r="D151" s="85"/>
      <c r="E151" s="85"/>
      <c r="F151" s="85"/>
      <c r="G151" s="85"/>
      <c r="H151" s="85"/>
      <c r="I151" s="86"/>
      <c r="J151" s="100"/>
      <c r="K151" s="21"/>
      <c r="L151" s="105"/>
      <c r="M151" s="105"/>
    </row>
    <row r="152" spans="1:13" s="106" customFormat="1" ht="67.5" customHeight="1">
      <c r="A152" s="96">
        <f>A150+1</f>
        <v>102</v>
      </c>
      <c r="B152" s="122" t="s">
        <v>78</v>
      </c>
      <c r="C152" s="98">
        <f>SUM(D152:I152)</f>
        <v>88963.5</v>
      </c>
      <c r="D152" s="98">
        <f aca="true" t="shared" si="40" ref="D152:I152">SUM(D153:D153)</f>
        <v>0</v>
      </c>
      <c r="E152" s="98">
        <f t="shared" si="40"/>
        <v>6812.1</v>
      </c>
      <c r="F152" s="98">
        <f t="shared" si="40"/>
        <v>20467.4</v>
      </c>
      <c r="G152" s="98">
        <f t="shared" si="40"/>
        <v>20624</v>
      </c>
      <c r="H152" s="98">
        <f t="shared" si="40"/>
        <v>20530</v>
      </c>
      <c r="I152" s="99">
        <f t="shared" si="40"/>
        <v>20530</v>
      </c>
      <c r="J152" s="100" t="s">
        <v>81</v>
      </c>
      <c r="K152" s="21"/>
      <c r="L152" s="105"/>
      <c r="M152" s="105"/>
    </row>
    <row r="153" spans="1:13" s="106" customFormat="1" ht="15" customHeight="1">
      <c r="A153" s="96">
        <f>A152+1</f>
        <v>103</v>
      </c>
      <c r="B153" s="104" t="s">
        <v>5</v>
      </c>
      <c r="C153" s="85">
        <f>SUM(D153:I153)</f>
        <v>88963.5</v>
      </c>
      <c r="D153" s="85">
        <v>0</v>
      </c>
      <c r="E153" s="85">
        <f>6874.6-62.5</f>
        <v>6812.1</v>
      </c>
      <c r="F153" s="85">
        <f>20436.2+31.2</f>
        <v>20467.4</v>
      </c>
      <c r="G153" s="85">
        <f>20530+94</f>
        <v>20624</v>
      </c>
      <c r="H153" s="85">
        <v>20530</v>
      </c>
      <c r="I153" s="85">
        <v>20530</v>
      </c>
      <c r="J153" s="100"/>
      <c r="K153" s="21"/>
      <c r="L153" s="105"/>
      <c r="M153" s="105"/>
    </row>
    <row r="154" spans="1:13" s="106" customFormat="1" ht="15" customHeight="1">
      <c r="A154" s="96"/>
      <c r="B154" s="104"/>
      <c r="C154" s="85"/>
      <c r="D154" s="85"/>
      <c r="E154" s="85"/>
      <c r="F154" s="85"/>
      <c r="G154" s="85"/>
      <c r="H154" s="85"/>
      <c r="I154" s="86"/>
      <c r="J154" s="100"/>
      <c r="K154" s="21"/>
      <c r="L154" s="105"/>
      <c r="M154" s="105"/>
    </row>
    <row r="155" spans="1:13" s="106" customFormat="1" ht="79.5" customHeight="1">
      <c r="A155" s="96">
        <f>A153+1</f>
        <v>104</v>
      </c>
      <c r="B155" s="122" t="s">
        <v>79</v>
      </c>
      <c r="C155" s="98">
        <f>SUM(D155:I155)</f>
        <v>89053.93288</v>
      </c>
      <c r="D155" s="98">
        <f aca="true" t="shared" si="41" ref="D155:I155">SUM(D156:D156)</f>
        <v>0</v>
      </c>
      <c r="E155" s="98">
        <f t="shared" si="41"/>
        <v>8790.032</v>
      </c>
      <c r="F155" s="98">
        <f t="shared" si="41"/>
        <v>17963.20088</v>
      </c>
      <c r="G155" s="98">
        <f t="shared" si="41"/>
        <v>15930</v>
      </c>
      <c r="H155" s="98">
        <f t="shared" si="41"/>
        <v>22857.5</v>
      </c>
      <c r="I155" s="99">
        <f t="shared" si="41"/>
        <v>23513.2</v>
      </c>
      <c r="J155" s="125" t="s">
        <v>82</v>
      </c>
      <c r="K155" s="21"/>
      <c r="L155" s="105"/>
      <c r="M155" s="105"/>
    </row>
    <row r="156" spans="1:13" s="106" customFormat="1" ht="15" customHeight="1">
      <c r="A156" s="96">
        <f>A155+1</f>
        <v>105</v>
      </c>
      <c r="B156" s="104" t="s">
        <v>5</v>
      </c>
      <c r="C156" s="85">
        <f>SUM(D156:I156)</f>
        <v>89053.93288</v>
      </c>
      <c r="D156" s="85">
        <v>0</v>
      </c>
      <c r="E156" s="85">
        <v>8790.032</v>
      </c>
      <c r="F156" s="85">
        <f>22102.5-4139.29912</f>
        <v>17963.20088</v>
      </c>
      <c r="G156" s="85">
        <f>24038.7-7168-165-775.7</f>
        <v>15930</v>
      </c>
      <c r="H156" s="85">
        <v>22857.5</v>
      </c>
      <c r="I156" s="85">
        <v>23513.2</v>
      </c>
      <c r="J156" s="100"/>
      <c r="K156" s="21"/>
      <c r="L156" s="105"/>
      <c r="M156" s="105"/>
    </row>
    <row r="157" spans="1:13" s="106" customFormat="1" ht="15" customHeight="1">
      <c r="A157" s="96"/>
      <c r="B157" s="104"/>
      <c r="C157" s="85"/>
      <c r="D157" s="85"/>
      <c r="E157" s="85"/>
      <c r="F157" s="85"/>
      <c r="G157" s="85"/>
      <c r="H157" s="85"/>
      <c r="I157" s="86"/>
      <c r="J157" s="100"/>
      <c r="K157" s="21"/>
      <c r="L157" s="105"/>
      <c r="M157" s="105"/>
    </row>
    <row r="158" spans="1:13" s="106" customFormat="1" ht="79.5" customHeight="1">
      <c r="A158" s="96">
        <f>A156+1</f>
        <v>106</v>
      </c>
      <c r="B158" s="122" t="s">
        <v>87</v>
      </c>
      <c r="C158" s="98">
        <f>SUM(D158:I158)</f>
        <v>12904.889</v>
      </c>
      <c r="D158" s="98">
        <f aca="true" t="shared" si="42" ref="D158:I158">SUM(D159:D160)</f>
        <v>0</v>
      </c>
      <c r="E158" s="98">
        <f t="shared" si="42"/>
        <v>0</v>
      </c>
      <c r="F158" s="98">
        <f t="shared" si="42"/>
        <v>4904.689</v>
      </c>
      <c r="G158" s="98">
        <f t="shared" si="42"/>
        <v>4000.2</v>
      </c>
      <c r="H158" s="98">
        <f t="shared" si="42"/>
        <v>2000</v>
      </c>
      <c r="I158" s="98">
        <f t="shared" si="42"/>
        <v>2000</v>
      </c>
      <c r="J158" s="125" t="s">
        <v>88</v>
      </c>
      <c r="K158" s="21"/>
      <c r="L158" s="105"/>
      <c r="M158" s="105"/>
    </row>
    <row r="159" spans="1:13" s="106" customFormat="1" ht="15" customHeight="1">
      <c r="A159" s="96">
        <f>A158+1</f>
        <v>107</v>
      </c>
      <c r="B159" s="104" t="s">
        <v>3</v>
      </c>
      <c r="C159" s="85">
        <f>SUM(D159:I159)</f>
        <v>8452.4445</v>
      </c>
      <c r="D159" s="85">
        <v>0</v>
      </c>
      <c r="E159" s="85">
        <v>0</v>
      </c>
      <c r="F159" s="85">
        <v>2452.3445</v>
      </c>
      <c r="G159" s="85">
        <v>2000.1</v>
      </c>
      <c r="H159" s="85">
        <v>2000</v>
      </c>
      <c r="I159" s="85">
        <v>2000</v>
      </c>
      <c r="J159" s="100"/>
      <c r="K159" s="21"/>
      <c r="L159" s="105"/>
      <c r="M159" s="105"/>
    </row>
    <row r="160" spans="1:13" s="106" customFormat="1" ht="15" customHeight="1">
      <c r="A160" s="96">
        <f>A159+1</f>
        <v>108</v>
      </c>
      <c r="B160" s="104" t="s">
        <v>5</v>
      </c>
      <c r="C160" s="85">
        <f>SUM(D160:I160)</f>
        <v>4452.4445</v>
      </c>
      <c r="D160" s="85">
        <v>0</v>
      </c>
      <c r="E160" s="85">
        <v>0</v>
      </c>
      <c r="F160" s="85">
        <v>2452.3445</v>
      </c>
      <c r="G160" s="85">
        <v>2000.1</v>
      </c>
      <c r="H160" s="85">
        <v>0</v>
      </c>
      <c r="I160" s="86">
        <v>0</v>
      </c>
      <c r="J160" s="100"/>
      <c r="K160" s="21"/>
      <c r="L160" s="105"/>
      <c r="M160" s="105"/>
    </row>
    <row r="161" spans="1:13" s="106" customFormat="1" ht="15" customHeight="1">
      <c r="A161" s="96"/>
      <c r="B161" s="104"/>
      <c r="C161" s="85"/>
      <c r="D161" s="85"/>
      <c r="E161" s="85"/>
      <c r="F161" s="85"/>
      <c r="G161" s="85"/>
      <c r="H161" s="85"/>
      <c r="I161" s="86"/>
      <c r="J161" s="100"/>
      <c r="K161" s="21"/>
      <c r="L161" s="105"/>
      <c r="M161" s="105"/>
    </row>
    <row r="162" spans="1:13" s="106" customFormat="1" ht="79.5" customHeight="1">
      <c r="A162" s="96">
        <f>A160+1</f>
        <v>109</v>
      </c>
      <c r="B162" s="122" t="s">
        <v>94</v>
      </c>
      <c r="C162" s="98">
        <f>SUM(D162:I162)</f>
        <v>976.625</v>
      </c>
      <c r="D162" s="98">
        <f aca="true" t="shared" si="43" ref="D162:I162">SUM(D163:D163)</f>
        <v>0</v>
      </c>
      <c r="E162" s="98">
        <f t="shared" si="43"/>
        <v>0</v>
      </c>
      <c r="F162" s="98">
        <f t="shared" si="43"/>
        <v>0</v>
      </c>
      <c r="G162" s="98">
        <f t="shared" si="43"/>
        <v>976.625</v>
      </c>
      <c r="H162" s="98">
        <f t="shared" si="43"/>
        <v>0</v>
      </c>
      <c r="I162" s="99">
        <f t="shared" si="43"/>
        <v>0</v>
      </c>
      <c r="J162" s="125" t="s">
        <v>93</v>
      </c>
      <c r="K162" s="21"/>
      <c r="L162" s="105"/>
      <c r="M162" s="105"/>
    </row>
    <row r="163" spans="1:13" s="106" customFormat="1" ht="15" customHeight="1">
      <c r="A163" s="96">
        <f>A162+1</f>
        <v>110</v>
      </c>
      <c r="B163" s="104" t="s">
        <v>5</v>
      </c>
      <c r="C163" s="85">
        <f>SUM(D163:I163)</f>
        <v>976.625</v>
      </c>
      <c r="D163" s="85">
        <v>0</v>
      </c>
      <c r="E163" s="85">
        <v>0</v>
      </c>
      <c r="F163" s="85">
        <v>0</v>
      </c>
      <c r="G163" s="85">
        <f>976.625</f>
        <v>976.625</v>
      </c>
      <c r="H163" s="85">
        <v>0</v>
      </c>
      <c r="I163" s="85">
        <v>0</v>
      </c>
      <c r="J163" s="100"/>
      <c r="K163" s="21"/>
      <c r="L163" s="105"/>
      <c r="M163" s="105"/>
    </row>
    <row r="164" spans="1:13" s="106" customFormat="1" ht="15" customHeight="1">
      <c r="A164" s="96"/>
      <c r="B164" s="126"/>
      <c r="C164" s="85"/>
      <c r="D164" s="85"/>
      <c r="E164" s="85"/>
      <c r="F164" s="85"/>
      <c r="G164" s="85"/>
      <c r="H164" s="85"/>
      <c r="I164" s="85"/>
      <c r="J164" s="100"/>
      <c r="K164" s="21"/>
      <c r="L164" s="105"/>
      <c r="M164" s="105"/>
    </row>
    <row r="165" spans="1:13" s="70" customFormat="1" ht="15" customHeight="1">
      <c r="A165" s="127"/>
      <c r="B165" s="66"/>
      <c r="C165" s="139" t="s">
        <v>38</v>
      </c>
      <c r="D165" s="140"/>
      <c r="E165" s="140"/>
      <c r="F165" s="140"/>
      <c r="G165" s="140"/>
      <c r="H165" s="140"/>
      <c r="I165" s="140"/>
      <c r="J165" s="67"/>
      <c r="K165" s="68"/>
      <c r="L165" s="69"/>
      <c r="M165" s="69"/>
    </row>
    <row r="166" spans="1:13" s="78" customFormat="1" ht="15" customHeight="1">
      <c r="A166" s="90">
        <f>A163+1</f>
        <v>111</v>
      </c>
      <c r="B166" s="71" t="s">
        <v>39</v>
      </c>
      <c r="C166" s="72">
        <f aca="true" t="shared" si="44" ref="C166:I167">SUM(C170)</f>
        <v>12878.8961</v>
      </c>
      <c r="D166" s="128">
        <f t="shared" si="44"/>
        <v>1690.763</v>
      </c>
      <c r="E166" s="98">
        <f t="shared" si="44"/>
        <v>2284</v>
      </c>
      <c r="F166" s="98">
        <f t="shared" si="44"/>
        <v>1951.75</v>
      </c>
      <c r="G166" s="98">
        <f t="shared" si="44"/>
        <v>2034.3831</v>
      </c>
      <c r="H166" s="98">
        <f t="shared" si="44"/>
        <v>2459</v>
      </c>
      <c r="I166" s="99">
        <f t="shared" si="44"/>
        <v>2459</v>
      </c>
      <c r="J166" s="75"/>
      <c r="K166" s="76"/>
      <c r="L166" s="77"/>
      <c r="M166" s="77"/>
    </row>
    <row r="167" spans="1:13" s="81" customFormat="1" ht="15" customHeight="1">
      <c r="A167" s="90">
        <f>A166+1</f>
        <v>112</v>
      </c>
      <c r="B167" s="41" t="s">
        <v>3</v>
      </c>
      <c r="C167" s="72">
        <f t="shared" si="44"/>
        <v>12878.8961</v>
      </c>
      <c r="D167" s="84">
        <f t="shared" si="44"/>
        <v>1690.763</v>
      </c>
      <c r="E167" s="85">
        <f t="shared" si="44"/>
        <v>2284</v>
      </c>
      <c r="F167" s="85">
        <f t="shared" si="44"/>
        <v>1951.75</v>
      </c>
      <c r="G167" s="85">
        <f t="shared" si="44"/>
        <v>2034.3831</v>
      </c>
      <c r="H167" s="85">
        <f t="shared" si="44"/>
        <v>2459</v>
      </c>
      <c r="I167" s="86">
        <f t="shared" si="44"/>
        <v>2459</v>
      </c>
      <c r="J167" s="79"/>
      <c r="K167" s="7"/>
      <c r="L167" s="80"/>
      <c r="M167" s="80"/>
    </row>
    <row r="168" spans="1:13" s="81" customFormat="1" ht="15" customHeight="1">
      <c r="A168" s="90"/>
      <c r="B168" s="83"/>
      <c r="C168" s="72"/>
      <c r="D168" s="84"/>
      <c r="E168" s="85"/>
      <c r="F168" s="85"/>
      <c r="G168" s="85"/>
      <c r="H168" s="85"/>
      <c r="I168" s="86"/>
      <c r="J168" s="79"/>
      <c r="K168" s="7"/>
      <c r="L168" s="80"/>
      <c r="M168" s="80"/>
    </row>
    <row r="169" spans="1:13" s="81" customFormat="1" ht="15" customHeight="1">
      <c r="A169" s="129"/>
      <c r="B169" s="88"/>
      <c r="C169" s="141" t="s">
        <v>12</v>
      </c>
      <c r="D169" s="142"/>
      <c r="E169" s="142"/>
      <c r="F169" s="142"/>
      <c r="G169" s="142"/>
      <c r="H169" s="142"/>
      <c r="I169" s="142"/>
      <c r="J169" s="89"/>
      <c r="K169" s="7"/>
      <c r="L169" s="80"/>
      <c r="M169" s="80"/>
    </row>
    <row r="170" spans="1:13" s="78" customFormat="1" ht="15" customHeight="1">
      <c r="A170" s="90">
        <f>A167+1</f>
        <v>113</v>
      </c>
      <c r="B170" s="71" t="s">
        <v>14</v>
      </c>
      <c r="C170" s="72">
        <f aca="true" t="shared" si="45" ref="C170:I170">SUM(C171:C171)</f>
        <v>12878.8961</v>
      </c>
      <c r="D170" s="72">
        <f t="shared" si="45"/>
        <v>1690.763</v>
      </c>
      <c r="E170" s="73">
        <f t="shared" si="45"/>
        <v>2284</v>
      </c>
      <c r="F170" s="73">
        <f t="shared" si="45"/>
        <v>1951.75</v>
      </c>
      <c r="G170" s="73">
        <f t="shared" si="45"/>
        <v>2034.3831</v>
      </c>
      <c r="H170" s="73">
        <f t="shared" si="45"/>
        <v>2459</v>
      </c>
      <c r="I170" s="74">
        <f t="shared" si="45"/>
        <v>2459</v>
      </c>
      <c r="J170" s="75"/>
      <c r="K170" s="76"/>
      <c r="L170" s="77"/>
      <c r="M170" s="77"/>
    </row>
    <row r="171" spans="1:13" s="81" customFormat="1" ht="15" customHeight="1">
      <c r="A171" s="90">
        <f>A170+1</f>
        <v>114</v>
      </c>
      <c r="B171" s="41" t="s">
        <v>3</v>
      </c>
      <c r="C171" s="72">
        <f>SUM(D171:I171)</f>
        <v>12878.8961</v>
      </c>
      <c r="D171" s="85">
        <f aca="true" t="shared" si="46" ref="D171:I171">SUM(D174)</f>
        <v>1690.763</v>
      </c>
      <c r="E171" s="85">
        <f t="shared" si="46"/>
        <v>2284</v>
      </c>
      <c r="F171" s="85">
        <f t="shared" si="46"/>
        <v>1951.75</v>
      </c>
      <c r="G171" s="85">
        <f t="shared" si="46"/>
        <v>2034.3831</v>
      </c>
      <c r="H171" s="85">
        <f t="shared" si="46"/>
        <v>2459</v>
      </c>
      <c r="I171" s="85">
        <f t="shared" si="46"/>
        <v>2459</v>
      </c>
      <c r="J171" s="79"/>
      <c r="K171" s="7"/>
      <c r="L171" s="80"/>
      <c r="M171" s="80"/>
    </row>
    <row r="172" spans="1:13" s="81" customFormat="1" ht="15" customHeight="1">
      <c r="A172" s="90"/>
      <c r="B172" s="94"/>
      <c r="C172" s="72"/>
      <c r="D172" s="92"/>
      <c r="E172" s="92"/>
      <c r="F172" s="92"/>
      <c r="G172" s="92"/>
      <c r="H172" s="92"/>
      <c r="I172" s="95"/>
      <c r="J172" s="79"/>
      <c r="K172" s="7"/>
      <c r="L172" s="80"/>
      <c r="M172" s="80"/>
    </row>
    <row r="173" spans="1:13" s="106" customFormat="1" ht="78" customHeight="1">
      <c r="A173" s="90">
        <f>A171+1</f>
        <v>115</v>
      </c>
      <c r="B173" s="116" t="s">
        <v>23</v>
      </c>
      <c r="C173" s="72">
        <f>SUM(D173:I173)</f>
        <v>12878.8961</v>
      </c>
      <c r="D173" s="98">
        <f aca="true" t="shared" si="47" ref="D173:I173">SUM(D174)</f>
        <v>1690.763</v>
      </c>
      <c r="E173" s="98">
        <f t="shared" si="47"/>
        <v>2284</v>
      </c>
      <c r="F173" s="98">
        <f t="shared" si="47"/>
        <v>1951.75</v>
      </c>
      <c r="G173" s="98">
        <f t="shared" si="47"/>
        <v>2034.3831</v>
      </c>
      <c r="H173" s="98">
        <f t="shared" si="47"/>
        <v>2459</v>
      </c>
      <c r="I173" s="99">
        <f t="shared" si="47"/>
        <v>2459</v>
      </c>
      <c r="J173" s="100" t="s">
        <v>75</v>
      </c>
      <c r="K173" s="21"/>
      <c r="L173" s="105"/>
      <c r="M173" s="105"/>
    </row>
    <row r="174" spans="1:13" s="106" customFormat="1" ht="15" customHeight="1">
      <c r="A174" s="90">
        <f>A173+1</f>
        <v>116</v>
      </c>
      <c r="B174" s="104" t="s">
        <v>3</v>
      </c>
      <c r="C174" s="130">
        <f>SUM(D174:I174)</f>
        <v>12878.8961</v>
      </c>
      <c r="D174" s="85">
        <f>4000-2309.237</f>
        <v>1690.763</v>
      </c>
      <c r="E174" s="85">
        <v>2284</v>
      </c>
      <c r="F174" s="85">
        <f>2941-989.25</f>
        <v>1951.75</v>
      </c>
      <c r="G174" s="85">
        <f>2459-424.6169</f>
        <v>2034.3831</v>
      </c>
      <c r="H174" s="85">
        <v>2459</v>
      </c>
      <c r="I174" s="85">
        <v>2459</v>
      </c>
      <c r="J174" s="100"/>
      <c r="K174" s="21"/>
      <c r="L174" s="105"/>
      <c r="M174" s="105"/>
    </row>
    <row r="175" spans="1:13" s="81" customFormat="1" ht="15" customHeight="1">
      <c r="A175" s="90"/>
      <c r="B175" s="83"/>
      <c r="C175" s="128"/>
      <c r="D175" s="85"/>
      <c r="E175" s="85"/>
      <c r="F175" s="85"/>
      <c r="G175" s="85"/>
      <c r="H175" s="85"/>
      <c r="I175" s="85"/>
      <c r="J175" s="79"/>
      <c r="K175" s="7"/>
      <c r="L175" s="80"/>
      <c r="M175" s="80"/>
    </row>
    <row r="176" spans="1:13" s="70" customFormat="1" ht="48.75" customHeight="1">
      <c r="A176" s="127"/>
      <c r="B176" s="66"/>
      <c r="C176" s="139" t="s">
        <v>42</v>
      </c>
      <c r="D176" s="140"/>
      <c r="E176" s="140"/>
      <c r="F176" s="140"/>
      <c r="G176" s="140"/>
      <c r="H176" s="140"/>
      <c r="I176" s="140"/>
      <c r="J176" s="67"/>
      <c r="K176" s="68"/>
      <c r="L176" s="69"/>
      <c r="M176" s="69"/>
    </row>
    <row r="177" spans="1:13" s="78" customFormat="1" ht="15" customHeight="1">
      <c r="A177" s="90">
        <f>A174+1</f>
        <v>117</v>
      </c>
      <c r="B177" s="71" t="s">
        <v>20</v>
      </c>
      <c r="C177" s="72">
        <f aca="true" t="shared" si="48" ref="C177:I179">SUM(C182)</f>
        <v>281016.92644</v>
      </c>
      <c r="D177" s="128">
        <f t="shared" si="48"/>
        <v>41067.372</v>
      </c>
      <c r="E177" s="98">
        <f t="shared" si="48"/>
        <v>43662.6</v>
      </c>
      <c r="F177" s="98">
        <f t="shared" si="48"/>
        <v>45338.41</v>
      </c>
      <c r="G177" s="98">
        <f t="shared" si="48"/>
        <v>49308.54444000001</v>
      </c>
      <c r="H177" s="98">
        <f t="shared" si="48"/>
        <v>49327.5</v>
      </c>
      <c r="I177" s="99">
        <f t="shared" si="48"/>
        <v>52312.5</v>
      </c>
      <c r="J177" s="75"/>
      <c r="K177" s="76"/>
      <c r="L177" s="77"/>
      <c r="M177" s="77"/>
    </row>
    <row r="178" spans="1:13" s="81" customFormat="1" ht="15" customHeight="1">
      <c r="A178" s="90">
        <f>A177+1</f>
        <v>118</v>
      </c>
      <c r="B178" s="41" t="s">
        <v>3</v>
      </c>
      <c r="C178" s="72">
        <f t="shared" si="48"/>
        <v>280853.62644</v>
      </c>
      <c r="D178" s="84">
        <f t="shared" si="48"/>
        <v>41067.372</v>
      </c>
      <c r="E178" s="85">
        <f t="shared" si="48"/>
        <v>43662.6</v>
      </c>
      <c r="F178" s="85">
        <f t="shared" si="48"/>
        <v>45338.41</v>
      </c>
      <c r="G178" s="85">
        <f t="shared" si="48"/>
        <v>49145.24444000001</v>
      </c>
      <c r="H178" s="85">
        <f t="shared" si="48"/>
        <v>49327.5</v>
      </c>
      <c r="I178" s="86">
        <f t="shared" si="48"/>
        <v>52312.5</v>
      </c>
      <c r="J178" s="79"/>
      <c r="K178" s="7"/>
      <c r="L178" s="80"/>
      <c r="M178" s="80"/>
    </row>
    <row r="179" spans="1:13" s="81" customFormat="1" ht="15" customHeight="1">
      <c r="A179" s="90">
        <f>A178+1</f>
        <v>119</v>
      </c>
      <c r="B179" s="104" t="s">
        <v>5</v>
      </c>
      <c r="C179" s="72">
        <f t="shared" si="48"/>
        <v>163.29999999999998</v>
      </c>
      <c r="D179" s="84">
        <f t="shared" si="48"/>
        <v>0</v>
      </c>
      <c r="E179" s="85">
        <f t="shared" si="48"/>
        <v>0</v>
      </c>
      <c r="F179" s="85">
        <f t="shared" si="48"/>
        <v>0</v>
      </c>
      <c r="G179" s="85">
        <f t="shared" si="48"/>
        <v>163.29999999999998</v>
      </c>
      <c r="H179" s="85">
        <f t="shared" si="48"/>
        <v>0</v>
      </c>
      <c r="I179" s="86">
        <f t="shared" si="48"/>
        <v>0</v>
      </c>
      <c r="J179" s="79"/>
      <c r="K179" s="7"/>
      <c r="L179" s="80"/>
      <c r="M179" s="80"/>
    </row>
    <row r="180" spans="1:13" s="81" customFormat="1" ht="15" customHeight="1">
      <c r="A180" s="90"/>
      <c r="B180" s="83"/>
      <c r="C180" s="72"/>
      <c r="D180" s="84"/>
      <c r="E180" s="85"/>
      <c r="F180" s="85"/>
      <c r="G180" s="85"/>
      <c r="H180" s="85"/>
      <c r="I180" s="86"/>
      <c r="J180" s="79"/>
      <c r="K180" s="7"/>
      <c r="L180" s="80"/>
      <c r="M180" s="80"/>
    </row>
    <row r="181" spans="1:13" s="81" customFormat="1" ht="15" customHeight="1">
      <c r="A181" s="129"/>
      <c r="B181" s="88"/>
      <c r="C181" s="141" t="s">
        <v>12</v>
      </c>
      <c r="D181" s="142"/>
      <c r="E181" s="142"/>
      <c r="F181" s="142"/>
      <c r="G181" s="142"/>
      <c r="H181" s="142"/>
      <c r="I181" s="142"/>
      <c r="J181" s="89"/>
      <c r="K181" s="7"/>
      <c r="L181" s="80"/>
      <c r="M181" s="80"/>
    </row>
    <row r="182" spans="1:13" s="78" customFormat="1" ht="15" customHeight="1">
      <c r="A182" s="90">
        <f>A179+1</f>
        <v>120</v>
      </c>
      <c r="B182" s="71" t="s">
        <v>14</v>
      </c>
      <c r="C182" s="72">
        <f aca="true" t="shared" si="49" ref="C182:I182">SUM(C183:C184)</f>
        <v>281016.92644</v>
      </c>
      <c r="D182" s="72">
        <f t="shared" si="49"/>
        <v>41067.372</v>
      </c>
      <c r="E182" s="73">
        <f t="shared" si="49"/>
        <v>43662.6</v>
      </c>
      <c r="F182" s="73">
        <f t="shared" si="49"/>
        <v>45338.41</v>
      </c>
      <c r="G182" s="73">
        <f t="shared" si="49"/>
        <v>49308.54444000001</v>
      </c>
      <c r="H182" s="73">
        <f t="shared" si="49"/>
        <v>49327.5</v>
      </c>
      <c r="I182" s="74">
        <f t="shared" si="49"/>
        <v>52312.5</v>
      </c>
      <c r="J182" s="75"/>
      <c r="K182" s="76"/>
      <c r="L182" s="77"/>
      <c r="M182" s="77"/>
    </row>
    <row r="183" spans="1:13" s="81" customFormat="1" ht="15" customHeight="1">
      <c r="A183" s="90">
        <f>A182+1</f>
        <v>121</v>
      </c>
      <c r="B183" s="41" t="s">
        <v>3</v>
      </c>
      <c r="C183" s="72">
        <f>SUM(D183:I183)</f>
        <v>280853.62644</v>
      </c>
      <c r="D183" s="85">
        <f aca="true" t="shared" si="50" ref="D183:I183">SUM(D187+D191+D195)</f>
        <v>41067.372</v>
      </c>
      <c r="E183" s="85">
        <f t="shared" si="50"/>
        <v>43662.6</v>
      </c>
      <c r="F183" s="85">
        <f t="shared" si="50"/>
        <v>45338.41</v>
      </c>
      <c r="G183" s="85">
        <f t="shared" si="50"/>
        <v>49145.24444000001</v>
      </c>
      <c r="H183" s="85">
        <f t="shared" si="50"/>
        <v>49327.5</v>
      </c>
      <c r="I183" s="85">
        <f t="shared" si="50"/>
        <v>52312.5</v>
      </c>
      <c r="J183" s="79"/>
      <c r="K183" s="7"/>
      <c r="L183" s="80"/>
      <c r="M183" s="80"/>
    </row>
    <row r="184" spans="1:13" s="81" customFormat="1" ht="15" customHeight="1">
      <c r="A184" s="90">
        <f>A183+1</f>
        <v>122</v>
      </c>
      <c r="B184" s="104" t="s">
        <v>5</v>
      </c>
      <c r="C184" s="72">
        <f>SUM(D184:I184)</f>
        <v>163.29999999999998</v>
      </c>
      <c r="D184" s="92">
        <f aca="true" t="shared" si="51" ref="D184:I184">SUM(D188+D192)</f>
        <v>0</v>
      </c>
      <c r="E184" s="92">
        <f t="shared" si="51"/>
        <v>0</v>
      </c>
      <c r="F184" s="92">
        <f t="shared" si="51"/>
        <v>0</v>
      </c>
      <c r="G184" s="92">
        <f>SUM(G188+G192)</f>
        <v>163.29999999999998</v>
      </c>
      <c r="H184" s="92">
        <f t="shared" si="51"/>
        <v>0</v>
      </c>
      <c r="I184" s="92">
        <f t="shared" si="51"/>
        <v>0</v>
      </c>
      <c r="J184" s="79"/>
      <c r="K184" s="7"/>
      <c r="L184" s="80"/>
      <c r="M184" s="80"/>
    </row>
    <row r="185" spans="1:13" s="81" customFormat="1" ht="15" customHeight="1">
      <c r="A185" s="90"/>
      <c r="B185" s="94"/>
      <c r="C185" s="72"/>
      <c r="D185" s="92"/>
      <c r="E185" s="92"/>
      <c r="F185" s="92"/>
      <c r="G185" s="92"/>
      <c r="H185" s="92"/>
      <c r="I185" s="95"/>
      <c r="J185" s="79"/>
      <c r="K185" s="7"/>
      <c r="L185" s="80"/>
      <c r="M185" s="80"/>
    </row>
    <row r="186" spans="1:13" s="106" customFormat="1" ht="63">
      <c r="A186" s="90">
        <f>A184+1</f>
        <v>123</v>
      </c>
      <c r="B186" s="116" t="s">
        <v>40</v>
      </c>
      <c r="C186" s="73">
        <f>SUM(D186:I186)</f>
        <v>29876.86594</v>
      </c>
      <c r="D186" s="98">
        <f aca="true" t="shared" si="52" ref="D186:I186">SUM(D187:D188)</f>
        <v>4507.372</v>
      </c>
      <c r="E186" s="98">
        <f t="shared" si="52"/>
        <v>4952.6</v>
      </c>
      <c r="F186" s="98">
        <f t="shared" si="52"/>
        <v>5100.3</v>
      </c>
      <c r="G186" s="98">
        <f t="shared" si="52"/>
        <v>5132.993939999999</v>
      </c>
      <c r="H186" s="98">
        <f t="shared" si="52"/>
        <v>5105.3</v>
      </c>
      <c r="I186" s="98">
        <f t="shared" si="52"/>
        <v>5078.3</v>
      </c>
      <c r="J186" s="100" t="s">
        <v>53</v>
      </c>
      <c r="K186" s="21"/>
      <c r="L186" s="105"/>
      <c r="M186" s="105"/>
    </row>
    <row r="187" spans="1:13" s="81" customFormat="1" ht="15" customHeight="1">
      <c r="A187" s="90">
        <f>A186+1</f>
        <v>124</v>
      </c>
      <c r="B187" s="104" t="s">
        <v>3</v>
      </c>
      <c r="C187" s="92">
        <f>SUM(D187:I187)</f>
        <v>29861.66594</v>
      </c>
      <c r="D187" s="92">
        <f>4210.1+70+227.272</f>
        <v>4507.372</v>
      </c>
      <c r="E187" s="92">
        <f>5052.6-100</f>
        <v>4952.6</v>
      </c>
      <c r="F187" s="85">
        <f>5100.3</f>
        <v>5100.3</v>
      </c>
      <c r="G187" s="85">
        <v>5117.79394</v>
      </c>
      <c r="H187" s="85">
        <v>5105.3</v>
      </c>
      <c r="I187" s="85">
        <v>5078.3</v>
      </c>
      <c r="J187" s="79"/>
      <c r="K187" s="7"/>
      <c r="L187" s="80"/>
      <c r="M187" s="80"/>
    </row>
    <row r="188" spans="1:13" s="81" customFormat="1" ht="15" customHeight="1">
      <c r="A188" s="90">
        <f>A187+1</f>
        <v>125</v>
      </c>
      <c r="B188" s="104" t="s">
        <v>5</v>
      </c>
      <c r="C188" s="92">
        <f>SUM(D188:I188)</f>
        <v>15.2</v>
      </c>
      <c r="D188" s="92">
        <v>0</v>
      </c>
      <c r="E188" s="92">
        <v>0</v>
      </c>
      <c r="F188" s="85">
        <v>0</v>
      </c>
      <c r="G188" s="85">
        <f>11.674+3.526</f>
        <v>15.2</v>
      </c>
      <c r="H188" s="85">
        <v>0</v>
      </c>
      <c r="I188" s="85">
        <v>0</v>
      </c>
      <c r="J188" s="79"/>
      <c r="K188" s="7"/>
      <c r="L188" s="80"/>
      <c r="M188" s="80"/>
    </row>
    <row r="189" spans="1:13" s="81" customFormat="1" ht="15" customHeight="1">
      <c r="A189" s="90"/>
      <c r="B189" s="94"/>
      <c r="C189" s="72"/>
      <c r="D189" s="92"/>
      <c r="E189" s="92"/>
      <c r="F189" s="92"/>
      <c r="G189" s="92"/>
      <c r="H189" s="92"/>
      <c r="I189" s="95"/>
      <c r="J189" s="79"/>
      <c r="K189" s="7"/>
      <c r="L189" s="80"/>
      <c r="M189" s="80"/>
    </row>
    <row r="190" spans="1:13" s="81" customFormat="1" ht="84.75" customHeight="1">
      <c r="A190" s="90">
        <f>A188+1</f>
        <v>126</v>
      </c>
      <c r="B190" s="71" t="s">
        <v>71</v>
      </c>
      <c r="C190" s="73">
        <f>SUM(D190:I190)</f>
        <v>249252.2533</v>
      </c>
      <c r="D190" s="98">
        <f aca="true" t="shared" si="53" ref="D190:I190">SUM(D191:D192)</f>
        <v>36230</v>
      </c>
      <c r="E190" s="98">
        <f t="shared" si="53"/>
        <v>38380</v>
      </c>
      <c r="F190" s="98">
        <f t="shared" si="53"/>
        <v>39987.496</v>
      </c>
      <c r="G190" s="98">
        <f t="shared" si="53"/>
        <v>43868.757300000005</v>
      </c>
      <c r="H190" s="98">
        <f t="shared" si="53"/>
        <v>43887</v>
      </c>
      <c r="I190" s="98">
        <f t="shared" si="53"/>
        <v>46899</v>
      </c>
      <c r="J190" s="100" t="s">
        <v>53</v>
      </c>
      <c r="K190" s="7"/>
      <c r="L190" s="80"/>
      <c r="M190" s="80"/>
    </row>
    <row r="191" spans="1:13" s="81" customFormat="1" ht="15" customHeight="1">
      <c r="A191" s="90">
        <f>A190+1</f>
        <v>127</v>
      </c>
      <c r="B191" s="83" t="s">
        <v>3</v>
      </c>
      <c r="C191" s="92">
        <f>SUM(D191:I191)</f>
        <v>249104.1533</v>
      </c>
      <c r="D191" s="92">
        <f>36300-70</f>
        <v>36230</v>
      </c>
      <c r="E191" s="92">
        <v>38380</v>
      </c>
      <c r="F191" s="85">
        <f>41070.5-1083.004</f>
        <v>39987.496</v>
      </c>
      <c r="G191" s="85">
        <f>43704-586.1484+424.6169+353.62-175.4312</f>
        <v>43720.657300000006</v>
      </c>
      <c r="H191" s="85">
        <v>43887</v>
      </c>
      <c r="I191" s="85">
        <v>46899</v>
      </c>
      <c r="J191" s="79"/>
      <c r="K191" s="7"/>
      <c r="L191" s="80"/>
      <c r="M191" s="80"/>
    </row>
    <row r="192" spans="1:13" s="81" customFormat="1" ht="15" customHeight="1">
      <c r="A192" s="90">
        <f>A191+1</f>
        <v>128</v>
      </c>
      <c r="B192" s="83" t="s">
        <v>5</v>
      </c>
      <c r="C192" s="92">
        <f>SUM(D192:I192)</f>
        <v>148.1</v>
      </c>
      <c r="D192" s="92">
        <v>0</v>
      </c>
      <c r="E192" s="92">
        <v>0</v>
      </c>
      <c r="F192" s="85">
        <v>0</v>
      </c>
      <c r="G192" s="85">
        <f>34.1+38+76</f>
        <v>148.1</v>
      </c>
      <c r="H192" s="85">
        <v>0</v>
      </c>
      <c r="I192" s="85">
        <v>0</v>
      </c>
      <c r="J192" s="79"/>
      <c r="K192" s="7"/>
      <c r="L192" s="80"/>
      <c r="M192" s="80"/>
    </row>
    <row r="193" spans="1:13" s="81" customFormat="1" ht="15" customHeight="1">
      <c r="A193" s="90"/>
      <c r="B193" s="94"/>
      <c r="C193" s="72"/>
      <c r="D193" s="92"/>
      <c r="E193" s="92"/>
      <c r="F193" s="92"/>
      <c r="G193" s="92"/>
      <c r="H193" s="92"/>
      <c r="I193" s="95"/>
      <c r="J193" s="79"/>
      <c r="K193" s="7"/>
      <c r="L193" s="80"/>
      <c r="M193" s="80"/>
    </row>
    <row r="194" spans="1:13" s="106" customFormat="1" ht="31.5">
      <c r="A194" s="90">
        <f>A192+1</f>
        <v>129</v>
      </c>
      <c r="B194" s="116" t="s">
        <v>41</v>
      </c>
      <c r="C194" s="73">
        <f>SUM(D194:I194)</f>
        <v>1887.8072000000002</v>
      </c>
      <c r="D194" s="98">
        <f aca="true" t="shared" si="54" ref="D194:I194">SUM(D195)</f>
        <v>330</v>
      </c>
      <c r="E194" s="98">
        <f t="shared" si="54"/>
        <v>330</v>
      </c>
      <c r="F194" s="98">
        <f t="shared" si="54"/>
        <v>250.614</v>
      </c>
      <c r="G194" s="98">
        <f t="shared" si="54"/>
        <v>306.7932</v>
      </c>
      <c r="H194" s="98">
        <f t="shared" si="54"/>
        <v>335.2</v>
      </c>
      <c r="I194" s="99">
        <f t="shared" si="54"/>
        <v>335.2</v>
      </c>
      <c r="J194" s="100" t="s">
        <v>53</v>
      </c>
      <c r="K194" s="21"/>
      <c r="L194" s="105"/>
      <c r="M194" s="105"/>
    </row>
    <row r="195" spans="1:13" s="106" customFormat="1" ht="15" customHeight="1">
      <c r="A195" s="90">
        <f>A194+1</f>
        <v>130</v>
      </c>
      <c r="B195" s="104" t="s">
        <v>3</v>
      </c>
      <c r="C195" s="92">
        <f>SUM(D195:I195)</f>
        <v>1887.8072000000002</v>
      </c>
      <c r="D195" s="85">
        <f>330+130-130</f>
        <v>330</v>
      </c>
      <c r="E195" s="92">
        <v>330</v>
      </c>
      <c r="F195" s="92">
        <f>330-79.386</f>
        <v>250.614</v>
      </c>
      <c r="G195" s="92">
        <f>335.2-28.4068</f>
        <v>306.7932</v>
      </c>
      <c r="H195" s="92">
        <v>335.2</v>
      </c>
      <c r="I195" s="95">
        <v>335.2</v>
      </c>
      <c r="J195" s="100"/>
      <c r="K195" s="21"/>
      <c r="L195" s="105"/>
      <c r="M195" s="105"/>
    </row>
  </sheetData>
  <sheetProtection/>
  <mergeCells count="21">
    <mergeCell ref="C181:I181"/>
    <mergeCell ref="A11:J11"/>
    <mergeCell ref="A13:A14"/>
    <mergeCell ref="B13:B14"/>
    <mergeCell ref="C13:I13"/>
    <mergeCell ref="C176:I176"/>
    <mergeCell ref="C32:I32"/>
    <mergeCell ref="A10:J10"/>
    <mergeCell ref="C26:I26"/>
    <mergeCell ref="F5:J5"/>
    <mergeCell ref="C169:I169"/>
    <mergeCell ref="C165:I165"/>
    <mergeCell ref="J13:J14"/>
    <mergeCell ref="A9:J9"/>
    <mergeCell ref="F1:J1"/>
    <mergeCell ref="F2:J2"/>
    <mergeCell ref="F6:J6"/>
    <mergeCell ref="H7:I7"/>
    <mergeCell ref="H8:I8"/>
    <mergeCell ref="F3:J3"/>
    <mergeCell ref="F4:J4"/>
  </mergeCells>
  <printOptions/>
  <pageMargins left="0.3937007874015748" right="0" top="0.3937007874015748" bottom="0.15748031496062992" header="0" footer="0"/>
  <pageSetup firstPageNumber="3" useFirstPageNumber="1" horizontalDpi="600" verticalDpi="600" orientation="landscape" paperSize="9" scale="73" r:id="rId1"/>
  <headerFooter alignWithMargins="0">
    <oddHeader>&amp;C&amp;P</oddHeader>
  </headerFooter>
  <rowBreaks count="3" manualBreakCount="3">
    <brk id="79" max="9" man="1"/>
    <brk id="101" max="9" man="1"/>
    <brk id="1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2022-12-21T11:29:37Z</cp:lastPrinted>
  <dcterms:created xsi:type="dcterms:W3CDTF">2013-10-08T11:20:39Z</dcterms:created>
  <dcterms:modified xsi:type="dcterms:W3CDTF">2023-01-30T08:06:39Z</dcterms:modified>
  <cp:category/>
  <cp:version/>
  <cp:contentType/>
  <cp:contentStatus/>
</cp:coreProperties>
</file>