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25" windowWidth="15480" windowHeight="8010" activeTab="0"/>
  </bookViews>
  <sheets>
    <sheet name="План мероприятий 2" sheetId="1" r:id="rId1"/>
  </sheets>
  <definedNames>
    <definedName name="_xlnm.Print_Titles" localSheetId="0">'План мероприятий 2'!$13:$15</definedName>
    <definedName name="_xlnm.Print_Area" localSheetId="0">'План мероприятий 2'!$A$1:$J$187</definedName>
  </definedNames>
  <calcPr fullCalcOnLoad="1"/>
</workbook>
</file>

<file path=xl/sharedStrings.xml><?xml version="1.0" encoding="utf-8"?>
<sst xmlns="http://schemas.openxmlformats.org/spreadsheetml/2006/main" count="178" uniqueCount="93">
  <si>
    <t>№ строки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</si>
  <si>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</si>
  <si>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</si>
  <si>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</si>
  <si>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</si>
  <si>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</si>
  <si>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</si>
  <si>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</si>
  <si>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</si>
  <si>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</si>
  <si>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</si>
  <si>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</si>
  <si>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</si>
  <si>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</si>
  <si>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</si>
  <si>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</si>
  <si>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</si>
  <si>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</si>
  <si>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</si>
  <si>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</si>
  <si>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</si>
  <si>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</si>
  <si>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</si>
  <si>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</si>
  <si>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</si>
  <si>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</si>
  <si>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</si>
  <si>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</si>
  <si>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</si>
  <si>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</si>
  <si>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</si>
  <si>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</si>
  <si>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</si>
  <si>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</si>
  <si>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</si>
  <si>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</si>
  <si>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</si>
  <si>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</si>
  <si>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</si>
  <si>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</si>
  <si>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</si>
  <si>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</si>
  <si>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</si>
  <si>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</si>
  <si>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</si>
  <si>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</si>
  <si>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</si>
  <si>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</si>
  <si>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</si>
  <si>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</si>
  <si>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</si>
  <si>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</si>
  <si>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</si>
  <si>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</si>
  <si>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</si>
  <si>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</si>
  <si>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</si>
  <si>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</si>
  <si>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</si>
  <si>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</si>
  <si>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r>
      <t xml:space="preserve">Мероприятие 20.                                                                                             Обеспечение условий реализации муниципальными </t>
    </r>
    <r>
      <rPr>
        <b/>
        <sz val="12"/>
        <color indexed="8"/>
        <rFont val="Times New Roman"/>
        <family val="1"/>
      </rPr>
      <t>образовательными организациями образовательных программ естественно-научного цикла и профориентационной работы, всего, в том числе:</t>
    </r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</si>
  <si>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</si>
  <si>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</si>
  <si>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</si>
  <si>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</si>
  <si>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13-1, 13-2, 13-3</t>
  </si>
  <si>
    <t>Приложение</t>
  </si>
  <si>
    <t>к постановлению Администрации Североуральского городского округа</t>
  </si>
  <si>
    <t>к муниципальной программе Североуральского городского округа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</si>
  <si>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годы, всего, в том числе:</t>
  </si>
  <si>
    <t>11, 11-1</t>
  </si>
  <si>
    <t>12-1, 12-2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</si>
  <si>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и полномочия учредителя осуществляет Управление образования Администрации Североуральского городского округа, всего, в том числе:</t>
  </si>
  <si>
    <t>Мероприятие 26.                                                                                                                           Осуществление спортивной подготовки, всего, в том числе:</t>
  </si>
  <si>
    <t>33-1</t>
  </si>
  <si>
    <t>13, 13-4</t>
  </si>
  <si>
    <t>44, 44-1</t>
  </si>
  <si>
    <t>Мероприятие 29.                                                                                                               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инфекции, всего, в том числе:</t>
  </si>
  <si>
    <t>40-2</t>
  </si>
  <si>
    <t>Мероприятие 30.                                                                                                                           Ежемесячное денежное вознаграждение за классное руководство педагогическим работникам общеобразовательных организаций, всего, в том числе:</t>
  </si>
  <si>
    <t>Мероприятие 31.                                                                                                             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организациях, всего, в том числе:</t>
  </si>
  <si>
    <t>местный бюджет за рамками софинансирования, предусмотренного Соглашением от 04.03.2020 № 694</t>
  </si>
  <si>
    <t>35-2</t>
  </si>
  <si>
    <t>21-1</t>
  </si>
  <si>
    <t>по выполнению муниципальной программы Североуральского городского округа</t>
  </si>
  <si>
    <t>Мероприятие 27.                                                                                                              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всего, в том числе:</t>
  </si>
  <si>
    <t>12, 12-1, 12-2, 13</t>
  </si>
  <si>
    <t xml:space="preserve">Мероприятие 9.                                                                                                Создание безопасных условий пребывания в муниципальных организациях отдыха детей и их оздоровления, всего, в том числе: </t>
  </si>
  <si>
    <t>Мероприятие 32.                                                                                                                           Создание в муниципальных общеобразовательных организациях условий для организации горячего питания обучающихся, всего, в том числе:</t>
  </si>
  <si>
    <t>21-2</t>
  </si>
  <si>
    <t>от "______" ___________ 2022 № _______</t>
  </si>
  <si>
    <t>Мероприятие 28.                                                                                                                           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Федерации, всего, в том числе:</t>
  </si>
  <si>
    <t>Мероприятие 25.                                                                                                                           Мероприятия, проводимые в рамках федерального проекта "Успех каждого ребенка" национального проекта "Образование", утвержденного протоколом президиума Совета при Президенте Российской Федерации по стратегическому развитию и национальным проектам от 24 декабря 2018 г. N 16 и оказание автономным/бюджетным учреждением образовательных услуг в рамках системы персонифицированного финансирования в качестве исполнителя образовательных услуг в соответствии с Положением  о персонифицированном дополнительном образовании детей в муниципальном образовании, всего, в том числе: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</si>
</sst>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58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4" fontId="2" fillId="0" borderId="0" xfId="0" applyNumberFormat="1" applyFont="1" applyFill="1" applyAlignment="1">
      <alignment/>
    </xf>
    <xf numFmtId="174" fontId="10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74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74" fontId="7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4" fontId="9" fillId="0" borderId="13" xfId="0" applyNumberFormat="1" applyFont="1" applyFill="1" applyBorder="1" applyAlignment="1">
      <alignment horizontal="right" vertical="center" wrapText="1"/>
    </xf>
    <xf numFmtId="174" fontId="9" fillId="0" borderId="11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/>
    </xf>
    <xf numFmtId="174" fontId="14" fillId="33" borderId="10" xfId="0" applyNumberFormat="1" applyFont="1" applyFill="1" applyBorder="1" applyAlignment="1">
      <alignment horizontal="right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Border="1" applyAlignment="1">
      <alignment horizontal="right" vertical="center" wrapText="1"/>
    </xf>
    <xf numFmtId="174" fontId="10" fillId="0" borderId="10" xfId="0" applyNumberFormat="1" applyFont="1" applyBorder="1" applyAlignment="1">
      <alignment horizontal="right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174" fontId="14" fillId="35" borderId="11" xfId="0" applyNumberFormat="1" applyFont="1" applyFill="1" applyBorder="1" applyAlignment="1">
      <alignment horizontal="right" vertical="center" wrapText="1"/>
    </xf>
    <xf numFmtId="174" fontId="7" fillId="0" borderId="13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74" fontId="56" fillId="0" borderId="10" xfId="0" applyNumberFormat="1" applyFont="1" applyFill="1" applyBorder="1" applyAlignment="1">
      <alignment horizontal="right" vertical="center" wrapText="1"/>
    </xf>
    <xf numFmtId="0" fontId="57" fillId="0" borderId="14" xfId="0" applyFont="1" applyFill="1" applyBorder="1" applyAlignment="1">
      <alignment horizontal="left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14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/>
    </xf>
    <xf numFmtId="174" fontId="14" fillId="0" borderId="11" xfId="0" applyNumberFormat="1" applyFont="1" applyFill="1" applyBorder="1" applyAlignment="1">
      <alignment horizontal="right" vertical="center" wrapText="1"/>
    </xf>
    <xf numFmtId="174" fontId="10" fillId="0" borderId="11" xfId="0" applyNumberFormat="1" applyFont="1" applyFill="1" applyBorder="1" applyAlignment="1">
      <alignment horizontal="right" vertical="center" wrapText="1"/>
    </xf>
    <xf numFmtId="174" fontId="14" fillId="36" borderId="10" xfId="0" applyNumberFormat="1" applyFont="1" applyFill="1" applyBorder="1" applyAlignment="1">
      <alignment horizontal="right" vertical="center" wrapText="1"/>
    </xf>
    <xf numFmtId="174" fontId="14" fillId="36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174" fontId="4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4" fontId="11" fillId="0" borderId="0" xfId="0" applyNumberFormat="1" applyFont="1" applyFill="1" applyAlignment="1">
      <alignment wrapText="1"/>
    </xf>
    <xf numFmtId="174" fontId="12" fillId="0" borderId="0" xfId="0" applyNumberFormat="1" applyFont="1" applyAlignment="1">
      <alignment wrapText="1"/>
    </xf>
    <xf numFmtId="174" fontId="11" fillId="0" borderId="0" xfId="0" applyNumberFormat="1" applyFont="1" applyAlignment="1">
      <alignment wrapText="1"/>
    </xf>
    <xf numFmtId="174" fontId="7" fillId="0" borderId="0" xfId="0" applyNumberFormat="1" applyFont="1" applyAlignment="1">
      <alignment wrapText="1"/>
    </xf>
    <xf numFmtId="174" fontId="13" fillId="0" borderId="0" xfId="0" applyNumberFormat="1" applyFont="1" applyAlignment="1">
      <alignment wrapText="1"/>
    </xf>
    <xf numFmtId="174" fontId="9" fillId="0" borderId="0" xfId="0" applyNumberFormat="1" applyFont="1" applyAlignment="1">
      <alignment wrapText="1"/>
    </xf>
    <xf numFmtId="174" fontId="13" fillId="0" borderId="0" xfId="0" applyNumberFormat="1" applyFont="1" applyFill="1" applyAlignment="1">
      <alignment wrapText="1"/>
    </xf>
    <xf numFmtId="174" fontId="9" fillId="0" borderId="0" xfId="0" applyNumberFormat="1" applyFont="1" applyFill="1" applyAlignment="1">
      <alignment wrapText="1"/>
    </xf>
    <xf numFmtId="174" fontId="7" fillId="0" borderId="0" xfId="0" applyNumberFormat="1" applyFont="1" applyFill="1" applyAlignment="1">
      <alignment wrapText="1"/>
    </xf>
    <xf numFmtId="174" fontId="16" fillId="0" borderId="0" xfId="0" applyNumberFormat="1" applyFont="1" applyAlignment="1">
      <alignment horizontal="right" wrapText="1"/>
    </xf>
    <xf numFmtId="174" fontId="0" fillId="0" borderId="0" xfId="0" applyNumberFormat="1" applyAlignment="1">
      <alignment/>
    </xf>
    <xf numFmtId="174" fontId="10" fillId="0" borderId="0" xfId="0" applyNumberFormat="1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4" fontId="9" fillId="4" borderId="10" xfId="0" applyNumberFormat="1" applyFont="1" applyFill="1" applyBorder="1" applyAlignment="1">
      <alignment horizontal="right" vertical="center" wrapText="1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7" fillId="34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4" fontId="7" fillId="33" borderId="11" xfId="0" applyNumberFormat="1" applyFont="1" applyFill="1" applyBorder="1" applyAlignment="1">
      <alignment horizontal="center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view="pageBreakPreview"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9.00390625" defaultRowHeight="12.75"/>
  <cols>
    <col min="1" max="1" width="8.25390625" style="11" customWidth="1"/>
    <col min="2" max="2" width="64.375" style="7" customWidth="1"/>
    <col min="3" max="3" width="18.00390625" style="3" customWidth="1"/>
    <col min="4" max="4" width="14.625" style="0" customWidth="1"/>
    <col min="5" max="9" width="14.625" style="13" customWidth="1"/>
    <col min="10" max="10" width="20.00390625" style="4" customWidth="1"/>
    <col min="11" max="11" width="12.625" style="118" customWidth="1"/>
  </cols>
  <sheetData>
    <row r="1" spans="1:11" s="1" customFormat="1" ht="15.75">
      <c r="A1" s="11"/>
      <c r="B1" s="5"/>
      <c r="C1" s="8"/>
      <c r="D1" s="10"/>
      <c r="E1" s="9"/>
      <c r="F1" s="136" t="s">
        <v>66</v>
      </c>
      <c r="G1" s="136"/>
      <c r="H1" s="136"/>
      <c r="I1" s="136"/>
      <c r="J1" s="136"/>
      <c r="K1" s="105"/>
    </row>
    <row r="2" spans="1:11" s="1" customFormat="1" ht="15.75">
      <c r="A2" s="11"/>
      <c r="B2" s="5"/>
      <c r="C2" s="8"/>
      <c r="E2" s="9"/>
      <c r="F2" s="136" t="s">
        <v>67</v>
      </c>
      <c r="G2" s="136"/>
      <c r="H2" s="136"/>
      <c r="I2" s="136"/>
      <c r="J2" s="136"/>
      <c r="K2" s="105"/>
    </row>
    <row r="3" spans="1:11" s="1" customFormat="1" ht="15.75">
      <c r="A3" s="11"/>
      <c r="B3" s="5"/>
      <c r="C3" s="8"/>
      <c r="E3" s="9"/>
      <c r="F3" s="136" t="s">
        <v>90</v>
      </c>
      <c r="G3" s="136"/>
      <c r="H3" s="136"/>
      <c r="I3" s="136"/>
      <c r="J3" s="136"/>
      <c r="K3" s="105"/>
    </row>
    <row r="4" spans="1:11" s="1" customFormat="1" ht="15.75">
      <c r="A4" s="11"/>
      <c r="B4" s="5"/>
      <c r="C4" s="8"/>
      <c r="E4" s="9"/>
      <c r="F4" s="136" t="s">
        <v>8</v>
      </c>
      <c r="G4" s="136"/>
      <c r="H4" s="136"/>
      <c r="I4" s="136"/>
      <c r="J4" s="136"/>
      <c r="K4" s="105"/>
    </row>
    <row r="5" spans="1:11" s="1" customFormat="1" ht="15.75">
      <c r="A5" s="11"/>
      <c r="B5" s="5"/>
      <c r="C5" s="8"/>
      <c r="E5" s="9"/>
      <c r="F5" s="136" t="s">
        <v>68</v>
      </c>
      <c r="G5" s="136"/>
      <c r="H5" s="136"/>
      <c r="I5" s="136"/>
      <c r="J5" s="136"/>
      <c r="K5" s="105"/>
    </row>
    <row r="6" spans="1:11" s="1" customFormat="1" ht="15">
      <c r="A6" s="11"/>
      <c r="B6" s="5"/>
      <c r="C6" s="44"/>
      <c r="D6" s="10"/>
      <c r="E6" s="9"/>
      <c r="F6" s="136" t="s">
        <v>43</v>
      </c>
      <c r="G6" s="136"/>
      <c r="H6" s="136"/>
      <c r="I6" s="136"/>
      <c r="J6" s="136"/>
      <c r="K6" s="105"/>
    </row>
    <row r="7" spans="1:11" s="1" customFormat="1" ht="15.75">
      <c r="A7" s="11"/>
      <c r="B7" s="5"/>
      <c r="C7" s="8"/>
      <c r="E7" s="9"/>
      <c r="F7" s="9"/>
      <c r="G7" s="9"/>
      <c r="H7" s="138"/>
      <c r="I7" s="138"/>
      <c r="K7" s="105"/>
    </row>
    <row r="8" spans="1:11" s="1" customFormat="1" ht="15">
      <c r="A8" s="11"/>
      <c r="B8" s="5"/>
      <c r="C8" s="14"/>
      <c r="E8" s="9"/>
      <c r="F8" s="9"/>
      <c r="G8" s="96"/>
      <c r="H8" s="138"/>
      <c r="I8" s="138"/>
      <c r="K8" s="105"/>
    </row>
    <row r="9" spans="1:11" s="1" customFormat="1" ht="15.75">
      <c r="A9" s="127" t="s">
        <v>7</v>
      </c>
      <c r="B9" s="127"/>
      <c r="C9" s="127"/>
      <c r="D9" s="127"/>
      <c r="E9" s="127"/>
      <c r="F9" s="127"/>
      <c r="G9" s="127"/>
      <c r="H9" s="127"/>
      <c r="I9" s="127"/>
      <c r="J9" s="127"/>
      <c r="K9" s="105"/>
    </row>
    <row r="10" spans="1:11" s="1" customFormat="1" ht="15.75">
      <c r="A10" s="127" t="s">
        <v>84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05"/>
    </row>
    <row r="11" spans="1:11" s="1" customFormat="1" ht="15.75">
      <c r="A11" s="127" t="s">
        <v>43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05"/>
    </row>
    <row r="12" spans="1:11" s="1" customFormat="1" ht="15">
      <c r="A12" s="11"/>
      <c r="B12" s="2"/>
      <c r="C12" s="16"/>
      <c r="E12" s="12"/>
      <c r="F12" s="44"/>
      <c r="G12" s="12"/>
      <c r="H12" s="12"/>
      <c r="I12" s="97"/>
      <c r="J12" s="66"/>
      <c r="K12" s="105"/>
    </row>
    <row r="13" spans="1:11" s="17" customFormat="1" ht="45" customHeight="1">
      <c r="A13" s="128" t="s">
        <v>0</v>
      </c>
      <c r="B13" s="130" t="s">
        <v>13</v>
      </c>
      <c r="C13" s="132" t="s">
        <v>44</v>
      </c>
      <c r="D13" s="133"/>
      <c r="E13" s="133"/>
      <c r="F13" s="133"/>
      <c r="G13" s="133"/>
      <c r="H13" s="133"/>
      <c r="I13" s="133"/>
      <c r="J13" s="137" t="s">
        <v>2</v>
      </c>
      <c r="K13" s="106"/>
    </row>
    <row r="14" spans="1:11" s="123" customFormat="1" ht="42.75" customHeight="1">
      <c r="A14" s="129"/>
      <c r="B14" s="131"/>
      <c r="C14" s="121" t="s">
        <v>1</v>
      </c>
      <c r="D14" s="67" t="s">
        <v>32</v>
      </c>
      <c r="E14" s="67" t="s">
        <v>33</v>
      </c>
      <c r="F14" s="67" t="s">
        <v>34</v>
      </c>
      <c r="G14" s="67" t="s">
        <v>35</v>
      </c>
      <c r="H14" s="67" t="s">
        <v>36</v>
      </c>
      <c r="I14" s="68" t="s">
        <v>37</v>
      </c>
      <c r="J14" s="137"/>
      <c r="K14" s="122"/>
    </row>
    <row r="15" spans="1:11" s="73" customFormat="1" ht="15.75" customHeight="1">
      <c r="A15" s="69" t="s">
        <v>22</v>
      </c>
      <c r="B15" s="70">
        <v>2</v>
      </c>
      <c r="C15" s="62">
        <v>3</v>
      </c>
      <c r="D15" s="71">
        <v>4</v>
      </c>
      <c r="E15" s="71">
        <v>5</v>
      </c>
      <c r="F15" s="71">
        <v>6</v>
      </c>
      <c r="G15" s="71">
        <v>7</v>
      </c>
      <c r="H15" s="71">
        <v>8</v>
      </c>
      <c r="I15" s="72">
        <v>9</v>
      </c>
      <c r="J15" s="62">
        <v>10</v>
      </c>
      <c r="K15" s="107"/>
    </row>
    <row r="16" spans="1:11" s="20" customFormat="1" ht="15.75">
      <c r="A16" s="18" t="s">
        <v>22</v>
      </c>
      <c r="B16" s="19" t="s">
        <v>10</v>
      </c>
      <c r="C16" s="45">
        <f>SUM(D16:I16)</f>
        <v>5604567.4394000005</v>
      </c>
      <c r="D16" s="46">
        <f aca="true" t="shared" si="0" ref="D16:I16">SUM(D17:D19)</f>
        <v>942448.2312900001</v>
      </c>
      <c r="E16" s="46">
        <f t="shared" si="0"/>
        <v>887883.3369899999</v>
      </c>
      <c r="F16" s="46">
        <f t="shared" si="0"/>
        <v>872930.94838</v>
      </c>
      <c r="G16" s="46">
        <f t="shared" si="0"/>
        <v>963910.9227400001</v>
      </c>
      <c r="H16" s="46">
        <f t="shared" si="0"/>
        <v>947725.3</v>
      </c>
      <c r="I16" s="63">
        <f t="shared" si="0"/>
        <v>989668.7</v>
      </c>
      <c r="J16" s="82"/>
      <c r="K16" s="108"/>
    </row>
    <row r="17" spans="1:11" s="24" customFormat="1" ht="15" customHeight="1">
      <c r="A17" s="21" t="s">
        <v>55</v>
      </c>
      <c r="B17" s="6" t="s">
        <v>3</v>
      </c>
      <c r="C17" s="47">
        <f>SUM(C22)</f>
        <v>2131852.83562</v>
      </c>
      <c r="D17" s="47">
        <f aca="true" t="shared" si="1" ref="C17:I19">SUM(D22)</f>
        <v>353888.81029000005</v>
      </c>
      <c r="E17" s="95">
        <f t="shared" si="1"/>
        <v>353012.8995899999</v>
      </c>
      <c r="F17" s="95">
        <f t="shared" si="1"/>
        <v>324951.103</v>
      </c>
      <c r="G17" s="95">
        <f t="shared" si="1"/>
        <v>386243.12273999996</v>
      </c>
      <c r="H17" s="95">
        <f t="shared" si="1"/>
        <v>341989.6</v>
      </c>
      <c r="I17" s="98">
        <f t="shared" si="1"/>
        <v>371767.3</v>
      </c>
      <c r="J17" s="83"/>
      <c r="K17" s="109"/>
    </row>
    <row r="18" spans="1:11" s="24" customFormat="1" ht="15" customHeight="1">
      <c r="A18" s="74">
        <f>A17+1</f>
        <v>3</v>
      </c>
      <c r="B18" s="6" t="s">
        <v>5</v>
      </c>
      <c r="C18" s="47">
        <f>SUM(C23)</f>
        <v>3472714.60378</v>
      </c>
      <c r="D18" s="47">
        <f>SUM(D23)</f>
        <v>588559.4210000001</v>
      </c>
      <c r="E18" s="95">
        <f>SUM(E23)</f>
        <v>534870.4373999999</v>
      </c>
      <c r="F18" s="95">
        <f t="shared" si="1"/>
        <v>547979.84538</v>
      </c>
      <c r="G18" s="95">
        <f t="shared" si="1"/>
        <v>577667.8</v>
      </c>
      <c r="H18" s="95">
        <f t="shared" si="1"/>
        <v>605735.7000000001</v>
      </c>
      <c r="I18" s="98">
        <f t="shared" si="1"/>
        <v>617901.4</v>
      </c>
      <c r="J18" s="83"/>
      <c r="K18" s="109"/>
    </row>
    <row r="19" spans="1:11" s="24" customFormat="1" ht="15" customHeight="1">
      <c r="A19" s="74">
        <f>A18+1</f>
        <v>4</v>
      </c>
      <c r="B19" s="6" t="s">
        <v>4</v>
      </c>
      <c r="C19" s="47">
        <f t="shared" si="1"/>
        <v>0</v>
      </c>
      <c r="D19" s="47">
        <f t="shared" si="1"/>
        <v>0</v>
      </c>
      <c r="E19" s="95">
        <f t="shared" si="1"/>
        <v>0</v>
      </c>
      <c r="F19" s="95">
        <f t="shared" si="1"/>
        <v>0</v>
      </c>
      <c r="G19" s="95">
        <f t="shared" si="1"/>
        <v>0</v>
      </c>
      <c r="H19" s="95">
        <f t="shared" si="1"/>
        <v>0</v>
      </c>
      <c r="I19" s="98">
        <f t="shared" si="1"/>
        <v>0</v>
      </c>
      <c r="J19" s="83"/>
      <c r="K19" s="109"/>
    </row>
    <row r="20" spans="1:11" s="24" customFormat="1" ht="15" customHeight="1">
      <c r="A20" s="21"/>
      <c r="B20" s="6"/>
      <c r="C20" s="47"/>
      <c r="D20" s="48"/>
      <c r="E20" s="15"/>
      <c r="F20" s="15"/>
      <c r="G20" s="15"/>
      <c r="H20" s="15"/>
      <c r="I20" s="99"/>
      <c r="J20" s="84"/>
      <c r="K20" s="109"/>
    </row>
    <row r="21" spans="1:11" s="28" customFormat="1" ht="15.75">
      <c r="A21" s="26" t="s">
        <v>56</v>
      </c>
      <c r="B21" s="27" t="s">
        <v>6</v>
      </c>
      <c r="C21" s="49">
        <f>SUM(D21:I21)</f>
        <v>5604567.4394000005</v>
      </c>
      <c r="D21" s="100">
        <f aca="true" t="shared" si="2" ref="D21:I21">SUM(D22:D24)</f>
        <v>942448.2312900001</v>
      </c>
      <c r="E21" s="100">
        <f t="shared" si="2"/>
        <v>887883.3369899999</v>
      </c>
      <c r="F21" s="100">
        <f t="shared" si="2"/>
        <v>872930.94838</v>
      </c>
      <c r="G21" s="100">
        <f t="shared" si="2"/>
        <v>963910.9227400001</v>
      </c>
      <c r="H21" s="100">
        <f t="shared" si="2"/>
        <v>947725.3</v>
      </c>
      <c r="I21" s="101">
        <f t="shared" si="2"/>
        <v>989668.7</v>
      </c>
      <c r="J21" s="85"/>
      <c r="K21" s="110"/>
    </row>
    <row r="22" spans="1:11" s="24" customFormat="1" ht="15" customHeight="1">
      <c r="A22" s="74">
        <f>A21+1</f>
        <v>6</v>
      </c>
      <c r="B22" s="6" t="s">
        <v>3</v>
      </c>
      <c r="C22" s="47">
        <f aca="true" t="shared" si="3" ref="C22:I22">SUM(C34+C163+C175)</f>
        <v>2131852.83562</v>
      </c>
      <c r="D22" s="47">
        <f t="shared" si="3"/>
        <v>353888.81029000005</v>
      </c>
      <c r="E22" s="95">
        <f t="shared" si="3"/>
        <v>353012.8995899999</v>
      </c>
      <c r="F22" s="95">
        <f t="shared" si="3"/>
        <v>324951.103</v>
      </c>
      <c r="G22" s="95">
        <f t="shared" si="3"/>
        <v>386243.12273999996</v>
      </c>
      <c r="H22" s="95">
        <f t="shared" si="3"/>
        <v>341989.6</v>
      </c>
      <c r="I22" s="95">
        <f t="shared" si="3"/>
        <v>371767.3</v>
      </c>
      <c r="J22" s="83"/>
      <c r="K22" s="109"/>
    </row>
    <row r="23" spans="1:11" s="24" customFormat="1" ht="15" customHeight="1">
      <c r="A23" s="74">
        <f>A22+1</f>
        <v>7</v>
      </c>
      <c r="B23" s="6" t="s">
        <v>5</v>
      </c>
      <c r="C23" s="47">
        <f aca="true" t="shared" si="4" ref="C23:I23">SUM(C35+C176)</f>
        <v>3472714.60378</v>
      </c>
      <c r="D23" s="47">
        <f t="shared" si="4"/>
        <v>588559.4210000001</v>
      </c>
      <c r="E23" s="95">
        <f t="shared" si="4"/>
        <v>534870.4373999999</v>
      </c>
      <c r="F23" s="95">
        <f t="shared" si="4"/>
        <v>547979.84538</v>
      </c>
      <c r="G23" s="95">
        <f t="shared" si="4"/>
        <v>577667.8</v>
      </c>
      <c r="H23" s="95">
        <f t="shared" si="4"/>
        <v>605735.7000000001</v>
      </c>
      <c r="I23" s="98">
        <f t="shared" si="4"/>
        <v>617901.4</v>
      </c>
      <c r="J23" s="83"/>
      <c r="K23" s="109"/>
    </row>
    <row r="24" spans="1:11" s="24" customFormat="1" ht="15" customHeight="1">
      <c r="A24" s="74">
        <f>A23+1</f>
        <v>8</v>
      </c>
      <c r="B24" s="6" t="s">
        <v>4</v>
      </c>
      <c r="C24" s="47">
        <f>SUM(C36)</f>
        <v>0</v>
      </c>
      <c r="D24" s="47">
        <f aca="true" t="shared" si="5" ref="D24:I24">SUM(D36)</f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8">
        <f t="shared" si="5"/>
        <v>0</v>
      </c>
      <c r="J24" s="83"/>
      <c r="K24" s="109"/>
    </row>
    <row r="25" spans="1:11" s="24" customFormat="1" ht="15" customHeight="1">
      <c r="A25" s="21"/>
      <c r="B25" s="25"/>
      <c r="C25" s="47"/>
      <c r="D25" s="48"/>
      <c r="E25" s="15"/>
      <c r="F25" s="15"/>
      <c r="G25" s="15"/>
      <c r="H25" s="15"/>
      <c r="I25" s="99"/>
      <c r="J25" s="84"/>
      <c r="K25" s="109"/>
    </row>
    <row r="26" spans="1:11" s="30" customFormat="1" ht="15" customHeight="1">
      <c r="A26" s="50"/>
      <c r="B26" s="52"/>
      <c r="C26" s="134" t="s">
        <v>30</v>
      </c>
      <c r="D26" s="135"/>
      <c r="E26" s="135"/>
      <c r="F26" s="135"/>
      <c r="G26" s="135"/>
      <c r="H26" s="135"/>
      <c r="I26" s="135"/>
      <c r="J26" s="86"/>
      <c r="K26" s="111"/>
    </row>
    <row r="27" spans="1:11" s="34" customFormat="1" ht="15" customHeight="1">
      <c r="A27" s="74">
        <f>A24+1</f>
        <v>9</v>
      </c>
      <c r="B27" s="53" t="s">
        <v>11</v>
      </c>
      <c r="C27" s="32">
        <f>SUM(C33)</f>
        <v>5310984.69886</v>
      </c>
      <c r="D27" s="32">
        <f aca="true" t="shared" si="6" ref="D27:I30">SUM(D33)</f>
        <v>899690.0962900001</v>
      </c>
      <c r="E27" s="36">
        <f t="shared" si="6"/>
        <v>841936.7369899999</v>
      </c>
      <c r="F27" s="36">
        <f t="shared" si="6"/>
        <v>825640.78838</v>
      </c>
      <c r="G27" s="36">
        <f t="shared" si="6"/>
        <v>912881.0771999999</v>
      </c>
      <c r="H27" s="36">
        <f t="shared" si="6"/>
        <v>895938.8</v>
      </c>
      <c r="I27" s="64">
        <f t="shared" si="6"/>
        <v>934897.2</v>
      </c>
      <c r="J27" s="87"/>
      <c r="K27" s="112"/>
    </row>
    <row r="28" spans="1:11" s="35" customFormat="1" ht="15" customHeight="1">
      <c r="A28" s="74">
        <f>A27+1</f>
        <v>10</v>
      </c>
      <c r="B28" s="6" t="s">
        <v>3</v>
      </c>
      <c r="C28" s="32">
        <f>SUM(C34)</f>
        <v>1838270.09508</v>
      </c>
      <c r="D28" s="32">
        <f>SUM(D34)</f>
        <v>311130.67529000004</v>
      </c>
      <c r="E28" s="36">
        <f>SUM(E34)</f>
        <v>307066.29958999995</v>
      </c>
      <c r="F28" s="36">
        <f t="shared" si="6"/>
        <v>277660.943</v>
      </c>
      <c r="G28" s="36">
        <f t="shared" si="6"/>
        <v>335213.27719999995</v>
      </c>
      <c r="H28" s="36">
        <f t="shared" si="6"/>
        <v>290203.1</v>
      </c>
      <c r="I28" s="64">
        <f t="shared" si="6"/>
        <v>316995.8</v>
      </c>
      <c r="J28" s="88"/>
      <c r="K28" s="113"/>
    </row>
    <row r="29" spans="1:11" s="35" customFormat="1" ht="15" customHeight="1">
      <c r="A29" s="74">
        <f>A28+1</f>
        <v>11</v>
      </c>
      <c r="B29" s="6" t="s">
        <v>5</v>
      </c>
      <c r="C29" s="32">
        <f>SUM(C35)</f>
        <v>3472714.60378</v>
      </c>
      <c r="D29" s="32">
        <f>SUM(D35)</f>
        <v>588559.4210000001</v>
      </c>
      <c r="E29" s="36">
        <f t="shared" si="6"/>
        <v>534870.4373999999</v>
      </c>
      <c r="F29" s="36">
        <f t="shared" si="6"/>
        <v>547979.84538</v>
      </c>
      <c r="G29" s="36">
        <f t="shared" si="6"/>
        <v>577667.8</v>
      </c>
      <c r="H29" s="36">
        <f t="shared" si="6"/>
        <v>605735.7000000001</v>
      </c>
      <c r="I29" s="64">
        <f t="shared" si="6"/>
        <v>617901.4</v>
      </c>
      <c r="J29" s="88"/>
      <c r="K29" s="113"/>
    </row>
    <row r="30" spans="1:11" s="35" customFormat="1" ht="15" customHeight="1">
      <c r="A30" s="74">
        <f>A29+1</f>
        <v>12</v>
      </c>
      <c r="B30" s="6" t="s">
        <v>4</v>
      </c>
      <c r="C30" s="32">
        <f>SUM(C36)</f>
        <v>0</v>
      </c>
      <c r="D30" s="32">
        <f t="shared" si="6"/>
        <v>0</v>
      </c>
      <c r="E30" s="36">
        <f t="shared" si="6"/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64">
        <f t="shared" si="6"/>
        <v>0</v>
      </c>
      <c r="J30" s="88"/>
      <c r="K30" s="113"/>
    </row>
    <row r="31" spans="1:11" s="35" customFormat="1" ht="15" customHeight="1">
      <c r="A31" s="31"/>
      <c r="B31" s="54"/>
      <c r="C31" s="32"/>
      <c r="D31" s="29"/>
      <c r="E31" s="23"/>
      <c r="F31" s="23"/>
      <c r="G31" s="23"/>
      <c r="H31" s="23"/>
      <c r="I31" s="43"/>
      <c r="J31" s="88"/>
      <c r="K31" s="113"/>
    </row>
    <row r="32" spans="1:11" s="35" customFormat="1" ht="15" customHeight="1">
      <c r="A32" s="51"/>
      <c r="B32" s="55"/>
      <c r="C32" s="125" t="s">
        <v>12</v>
      </c>
      <c r="D32" s="126"/>
      <c r="E32" s="126"/>
      <c r="F32" s="126"/>
      <c r="G32" s="126"/>
      <c r="H32" s="126"/>
      <c r="I32" s="126"/>
      <c r="J32" s="89"/>
      <c r="K32" s="113"/>
    </row>
    <row r="33" spans="1:11" s="34" customFormat="1" ht="15" customHeight="1">
      <c r="A33" s="75">
        <f>A30+1</f>
        <v>13</v>
      </c>
      <c r="B33" s="53" t="s">
        <v>14</v>
      </c>
      <c r="C33" s="32">
        <f>SUM(D33:I33)</f>
        <v>5310984.69886</v>
      </c>
      <c r="D33" s="36">
        <f aca="true" t="shared" si="7" ref="D33:I33">SUM(D34:D36)</f>
        <v>899690.0962900001</v>
      </c>
      <c r="E33" s="36">
        <f t="shared" si="7"/>
        <v>841936.7369899999</v>
      </c>
      <c r="F33" s="36">
        <f t="shared" si="7"/>
        <v>825640.78838</v>
      </c>
      <c r="G33" s="36">
        <f t="shared" si="7"/>
        <v>912881.0771999999</v>
      </c>
      <c r="H33" s="36">
        <f t="shared" si="7"/>
        <v>895938.8</v>
      </c>
      <c r="I33" s="64">
        <f t="shared" si="7"/>
        <v>934897.2</v>
      </c>
      <c r="J33" s="87"/>
      <c r="K33" s="112"/>
    </row>
    <row r="34" spans="1:11" s="35" customFormat="1" ht="15" customHeight="1">
      <c r="A34" s="75">
        <f>A33+1</f>
        <v>14</v>
      </c>
      <c r="B34" s="6" t="s">
        <v>3</v>
      </c>
      <c r="C34" s="32">
        <f>SUM(D34:I34)</f>
        <v>1838270.09508</v>
      </c>
      <c r="D34" s="23">
        <f aca="true" t="shared" si="8" ref="D34:I34">SUM(D42+D49+D52+D56+D59+D63+D66+D73+D77+D82+D85+D88+D91+D95+D98+D102+D107+D112+D113+D118+D122+D126+D130+D133+D137+D141+D154)</f>
        <v>311130.67529000004</v>
      </c>
      <c r="E34" s="23">
        <f t="shared" si="8"/>
        <v>307066.29958999995</v>
      </c>
      <c r="F34" s="23">
        <f t="shared" si="8"/>
        <v>277660.943</v>
      </c>
      <c r="G34" s="23">
        <f t="shared" si="8"/>
        <v>335213.27719999995</v>
      </c>
      <c r="H34" s="23">
        <f t="shared" si="8"/>
        <v>290203.1</v>
      </c>
      <c r="I34" s="23">
        <f t="shared" si="8"/>
        <v>316995.8</v>
      </c>
      <c r="J34" s="88"/>
      <c r="K34" s="113"/>
    </row>
    <row r="35" spans="1:11" s="35" customFormat="1" ht="15" customHeight="1">
      <c r="A35" s="75">
        <f>A34+1</f>
        <v>15</v>
      </c>
      <c r="B35" s="6" t="s">
        <v>5</v>
      </c>
      <c r="C35" s="32">
        <f>SUM(D35:I35)</f>
        <v>3472714.60378</v>
      </c>
      <c r="D35" s="23">
        <f aca="true" t="shared" si="9" ref="D35:I35">SUM(D39+D45+D53+D60+D67+D70+D74+D78+D92+D99+D103+D108+D114+D119+D123+D127+D134+D138+D142+D145+D148+D151+D155)</f>
        <v>588559.4210000001</v>
      </c>
      <c r="E35" s="23">
        <f t="shared" si="9"/>
        <v>534870.4373999999</v>
      </c>
      <c r="F35" s="23">
        <f t="shared" si="9"/>
        <v>547979.84538</v>
      </c>
      <c r="G35" s="23">
        <f t="shared" si="9"/>
        <v>577667.8</v>
      </c>
      <c r="H35" s="23">
        <f t="shared" si="9"/>
        <v>605735.7000000001</v>
      </c>
      <c r="I35" s="23">
        <f t="shared" si="9"/>
        <v>617901.4</v>
      </c>
      <c r="J35" s="88"/>
      <c r="K35" s="113"/>
    </row>
    <row r="36" spans="1:11" s="35" customFormat="1" ht="15" customHeight="1">
      <c r="A36" s="75">
        <f>A35+1</f>
        <v>16</v>
      </c>
      <c r="B36" s="6" t="s">
        <v>4</v>
      </c>
      <c r="C36" s="32">
        <f>SUM(D36:I36)</f>
        <v>0</v>
      </c>
      <c r="D36" s="37">
        <f aca="true" t="shared" si="10" ref="D36:I36">SUM(D79+D104+D109+D115)</f>
        <v>0</v>
      </c>
      <c r="E36" s="37">
        <f t="shared" si="10"/>
        <v>0</v>
      </c>
      <c r="F36" s="37">
        <f t="shared" si="10"/>
        <v>0</v>
      </c>
      <c r="G36" s="37">
        <f t="shared" si="10"/>
        <v>0</v>
      </c>
      <c r="H36" s="37">
        <f t="shared" si="10"/>
        <v>0</v>
      </c>
      <c r="I36" s="37">
        <f t="shared" si="10"/>
        <v>0</v>
      </c>
      <c r="J36" s="90"/>
      <c r="K36" s="113"/>
    </row>
    <row r="37" spans="1:11" s="35" customFormat="1" ht="15" customHeight="1">
      <c r="A37" s="75"/>
      <c r="B37" s="56"/>
      <c r="C37" s="32"/>
      <c r="D37" s="37"/>
      <c r="E37" s="37"/>
      <c r="F37" s="37"/>
      <c r="G37" s="37"/>
      <c r="H37" s="37"/>
      <c r="I37" s="42"/>
      <c r="J37" s="88"/>
      <c r="K37" s="113"/>
    </row>
    <row r="38" spans="1:11" s="39" customFormat="1" ht="95.25" customHeight="1">
      <c r="A38" s="76">
        <f>A36+1</f>
        <v>17</v>
      </c>
      <c r="B38" s="57" t="s">
        <v>61</v>
      </c>
      <c r="C38" s="33">
        <f>SUM(D38:I38)</f>
        <v>1161407.6</v>
      </c>
      <c r="D38" s="33">
        <f aca="true" t="shared" si="11" ref="D38:I38">SUM(D39)</f>
        <v>171082.3</v>
      </c>
      <c r="E38" s="33">
        <f t="shared" si="11"/>
        <v>175121.4</v>
      </c>
      <c r="F38" s="33">
        <f t="shared" si="11"/>
        <v>191229</v>
      </c>
      <c r="G38" s="33">
        <f t="shared" si="11"/>
        <v>194489.9</v>
      </c>
      <c r="H38" s="33">
        <f t="shared" si="11"/>
        <v>212611</v>
      </c>
      <c r="I38" s="65">
        <f t="shared" si="11"/>
        <v>216874</v>
      </c>
      <c r="J38" s="91" t="s">
        <v>45</v>
      </c>
      <c r="K38" s="114"/>
    </row>
    <row r="39" spans="1:11" s="40" customFormat="1" ht="15" customHeight="1">
      <c r="A39" s="76">
        <f>A38+1</f>
        <v>18</v>
      </c>
      <c r="B39" s="58" t="s">
        <v>5</v>
      </c>
      <c r="C39" s="23">
        <f>SUM(D39:I39)</f>
        <v>1161407.6</v>
      </c>
      <c r="D39" s="23">
        <f>167620+3314.3+148</f>
        <v>171082.3</v>
      </c>
      <c r="E39" s="23">
        <f>188499-5000-8377.6</f>
        <v>175121.4</v>
      </c>
      <c r="F39" s="23">
        <f>204989-13760</f>
        <v>191229</v>
      </c>
      <c r="G39" s="23">
        <v>194489.9</v>
      </c>
      <c r="H39" s="23">
        <v>212611</v>
      </c>
      <c r="I39" s="23">
        <v>216874</v>
      </c>
      <c r="J39" s="91"/>
      <c r="K39" s="115"/>
    </row>
    <row r="40" spans="1:11" s="35" customFormat="1" ht="15" customHeight="1">
      <c r="A40" s="75"/>
      <c r="B40" s="54"/>
      <c r="C40" s="32"/>
      <c r="D40" s="37"/>
      <c r="E40" s="37"/>
      <c r="F40" s="37"/>
      <c r="G40" s="37"/>
      <c r="H40" s="37"/>
      <c r="I40" s="42"/>
      <c r="J40" s="88"/>
      <c r="K40" s="113"/>
    </row>
    <row r="41" spans="1:11" s="39" customFormat="1" ht="81" customHeight="1">
      <c r="A41" s="77">
        <f>A39+1</f>
        <v>19</v>
      </c>
      <c r="B41" s="92" t="s">
        <v>15</v>
      </c>
      <c r="C41" s="33">
        <f>SUM(D41:I41)</f>
        <v>604390.556</v>
      </c>
      <c r="D41" s="33">
        <f aca="true" t="shared" si="12" ref="D41:I41">SUM(D42:D42)</f>
        <v>97300</v>
      </c>
      <c r="E41" s="33">
        <f t="shared" si="12"/>
        <v>95746.05</v>
      </c>
      <c r="F41" s="33">
        <f t="shared" si="12"/>
        <v>96686.713</v>
      </c>
      <c r="G41" s="33">
        <f t="shared" si="12"/>
        <v>102655.79299999999</v>
      </c>
      <c r="H41" s="33">
        <f t="shared" si="12"/>
        <v>101964.9</v>
      </c>
      <c r="I41" s="65">
        <f t="shared" si="12"/>
        <v>110037.1</v>
      </c>
      <c r="J41" s="91" t="s">
        <v>45</v>
      </c>
      <c r="K41" s="114"/>
    </row>
    <row r="42" spans="1:11" s="40" customFormat="1" ht="15" customHeight="1">
      <c r="A42" s="77">
        <f>A41+1</f>
        <v>20</v>
      </c>
      <c r="B42" s="58" t="s">
        <v>3</v>
      </c>
      <c r="C42" s="23">
        <f>SUM(D42:I42)</f>
        <v>604390.556</v>
      </c>
      <c r="D42" s="23">
        <f>97300</f>
        <v>97300</v>
      </c>
      <c r="E42" s="23">
        <f>96939.3-1193.25</f>
        <v>95746.05</v>
      </c>
      <c r="F42" s="23">
        <f>94780+1906.713</f>
        <v>96686.713</v>
      </c>
      <c r="G42" s="124">
        <f>100016.7+2639.093</f>
        <v>102655.79299999999</v>
      </c>
      <c r="H42" s="23">
        <v>101964.9</v>
      </c>
      <c r="I42" s="23">
        <v>110037.1</v>
      </c>
      <c r="J42" s="91"/>
      <c r="K42" s="115"/>
    </row>
    <row r="43" spans="1:11" s="35" customFormat="1" ht="15" customHeight="1">
      <c r="A43" s="75"/>
      <c r="B43" s="54"/>
      <c r="C43" s="32"/>
      <c r="D43" s="37"/>
      <c r="E43" s="37"/>
      <c r="F43" s="37"/>
      <c r="G43" s="37"/>
      <c r="H43" s="37"/>
      <c r="I43" s="42"/>
      <c r="J43" s="88"/>
      <c r="K43" s="113"/>
    </row>
    <row r="44" spans="1:11" s="41" customFormat="1" ht="99.75" customHeight="1">
      <c r="A44" s="77">
        <f>A42+1</f>
        <v>21</v>
      </c>
      <c r="B44" s="92" t="s">
        <v>62</v>
      </c>
      <c r="C44" s="33">
        <f>SUM(D44:I44)</f>
        <v>1722850</v>
      </c>
      <c r="D44" s="33">
        <f aca="true" t="shared" si="13" ref="D44:I44">SUM(D45)</f>
        <v>282252.8</v>
      </c>
      <c r="E44" s="33">
        <f t="shared" si="13"/>
        <v>267321.3</v>
      </c>
      <c r="F44" s="33">
        <f t="shared" si="13"/>
        <v>275499</v>
      </c>
      <c r="G44" s="33">
        <f t="shared" si="13"/>
        <v>288332.9</v>
      </c>
      <c r="H44" s="33">
        <f t="shared" si="13"/>
        <v>302051</v>
      </c>
      <c r="I44" s="65">
        <f t="shared" si="13"/>
        <v>307393</v>
      </c>
      <c r="J44" s="91" t="s">
        <v>46</v>
      </c>
      <c r="K44" s="116"/>
    </row>
    <row r="45" spans="1:11" s="40" customFormat="1" ht="15" customHeight="1">
      <c r="A45" s="77">
        <f>A44+1</f>
        <v>22</v>
      </c>
      <c r="B45" s="58" t="s">
        <v>5</v>
      </c>
      <c r="C45" s="23">
        <f>SUM(D45:I45)</f>
        <v>1722850</v>
      </c>
      <c r="D45" s="23">
        <f>225030+1000+15278.3+37000+3944.5</f>
        <v>282252.8</v>
      </c>
      <c r="E45" s="23">
        <f>269312+509.3-2500</f>
        <v>267321.3</v>
      </c>
      <c r="F45" s="23">
        <f>272905-395+600+2356+33</f>
        <v>275499</v>
      </c>
      <c r="G45" s="23">
        <v>288332.9</v>
      </c>
      <c r="H45" s="23">
        <v>302051</v>
      </c>
      <c r="I45" s="23">
        <v>307393</v>
      </c>
      <c r="J45" s="91"/>
      <c r="K45" s="115"/>
    </row>
    <row r="46" spans="1:11" s="35" customFormat="1" ht="15" customHeight="1">
      <c r="A46" s="75"/>
      <c r="B46" s="56"/>
      <c r="C46" s="32"/>
      <c r="D46" s="37"/>
      <c r="E46" s="37"/>
      <c r="F46" s="37"/>
      <c r="G46" s="37"/>
      <c r="H46" s="37"/>
      <c r="I46" s="42"/>
      <c r="J46" s="88"/>
      <c r="K46" s="113"/>
    </row>
    <row r="47" spans="1:11" s="41" customFormat="1" ht="81" customHeight="1">
      <c r="A47" s="77">
        <f>A45+1</f>
        <v>23</v>
      </c>
      <c r="B47" s="57" t="s">
        <v>16</v>
      </c>
      <c r="C47" s="33">
        <f>SUM(D47:I47)</f>
        <v>500717.79989</v>
      </c>
      <c r="D47" s="33">
        <f aca="true" t="shared" si="14" ref="D47:I47">SUM(D49:D49)</f>
        <v>69179.75</v>
      </c>
      <c r="E47" s="33">
        <f t="shared" si="14"/>
        <v>74776.97</v>
      </c>
      <c r="F47" s="33">
        <f t="shared" si="14"/>
        <v>81322.89</v>
      </c>
      <c r="G47" s="33">
        <f t="shared" si="14"/>
        <v>90317.08989</v>
      </c>
      <c r="H47" s="33">
        <f t="shared" si="14"/>
        <v>89231.5</v>
      </c>
      <c r="I47" s="65">
        <f t="shared" si="14"/>
        <v>95889.6</v>
      </c>
      <c r="J47" s="91" t="s">
        <v>47</v>
      </c>
      <c r="K47" s="116"/>
    </row>
    <row r="48" spans="1:11" s="40" customFormat="1" ht="40.5" customHeight="1">
      <c r="A48" s="77">
        <f>A47+1</f>
        <v>24</v>
      </c>
      <c r="B48" s="81" t="s">
        <v>9</v>
      </c>
      <c r="C48" s="80">
        <f>SUM(D48:I48)</f>
        <v>4512</v>
      </c>
      <c r="D48" s="80">
        <v>1541.2</v>
      </c>
      <c r="E48" s="80">
        <v>602.5</v>
      </c>
      <c r="F48" s="80">
        <v>611.1</v>
      </c>
      <c r="G48" s="80">
        <v>557.2</v>
      </c>
      <c r="H48" s="80">
        <v>600</v>
      </c>
      <c r="I48" s="80">
        <v>600</v>
      </c>
      <c r="J48" s="93"/>
      <c r="K48" s="115"/>
    </row>
    <row r="49" spans="1:11" s="40" customFormat="1" ht="15" customHeight="1">
      <c r="A49" s="76">
        <f>A48+1</f>
        <v>25</v>
      </c>
      <c r="B49" s="59" t="s">
        <v>3</v>
      </c>
      <c r="C49" s="23">
        <f>SUM(D49:I49)</f>
        <v>500717.79989</v>
      </c>
      <c r="D49" s="23">
        <f>67648+1015.1+516.65</f>
        <v>69179.75</v>
      </c>
      <c r="E49" s="23">
        <f>73583.72+1193.25</f>
        <v>74776.97</v>
      </c>
      <c r="F49" s="23">
        <f>79254+2068.89</f>
        <v>81322.89</v>
      </c>
      <c r="G49" s="124">
        <f>89005+1312.08989</f>
        <v>90317.08989</v>
      </c>
      <c r="H49" s="23">
        <v>89231.5</v>
      </c>
      <c r="I49" s="23">
        <v>95889.6</v>
      </c>
      <c r="J49" s="91"/>
      <c r="K49" s="115"/>
    </row>
    <row r="50" spans="1:11" s="35" customFormat="1" ht="15" customHeight="1">
      <c r="A50" s="75"/>
      <c r="B50" s="56"/>
      <c r="C50" s="32"/>
      <c r="D50" s="37"/>
      <c r="E50" s="37"/>
      <c r="F50" s="37"/>
      <c r="G50" s="37"/>
      <c r="H50" s="37"/>
      <c r="I50" s="42"/>
      <c r="J50" s="88"/>
      <c r="K50" s="113"/>
    </row>
    <row r="51" spans="1:11" s="40" customFormat="1" ht="66.75" customHeight="1">
      <c r="A51" s="77">
        <f>A49+1</f>
        <v>26</v>
      </c>
      <c r="B51" s="60" t="s">
        <v>17</v>
      </c>
      <c r="C51" s="33">
        <f>SUM(D51:I51)</f>
        <v>249763.18276</v>
      </c>
      <c r="D51" s="36">
        <f aca="true" t="shared" si="15" ref="D51:I51">SUM(D52:D53)</f>
        <v>43390.80876</v>
      </c>
      <c r="E51" s="36">
        <f t="shared" si="15"/>
        <v>37821.7</v>
      </c>
      <c r="F51" s="36">
        <f t="shared" si="15"/>
        <v>37737.894</v>
      </c>
      <c r="G51" s="36">
        <f t="shared" si="15"/>
        <v>42770.48</v>
      </c>
      <c r="H51" s="36">
        <f t="shared" si="15"/>
        <v>43045.8</v>
      </c>
      <c r="I51" s="36">
        <f t="shared" si="15"/>
        <v>44996.5</v>
      </c>
      <c r="J51" s="91" t="s">
        <v>86</v>
      </c>
      <c r="K51" s="115"/>
    </row>
    <row r="52" spans="1:11" s="40" customFormat="1" ht="15" customHeight="1">
      <c r="A52" s="76">
        <f>A51+1</f>
        <v>27</v>
      </c>
      <c r="B52" s="59" t="s">
        <v>3</v>
      </c>
      <c r="C52" s="23">
        <f>SUM(D52:I52)</f>
        <v>248581.98275999998</v>
      </c>
      <c r="D52" s="23">
        <f>40941.889-1115.35724+2383.077</f>
        <v>42209.60876</v>
      </c>
      <c r="E52" s="23">
        <v>37821.7</v>
      </c>
      <c r="F52" s="23">
        <f>37273.1+464.794</f>
        <v>37737.894</v>
      </c>
      <c r="G52" s="23">
        <f>42880.5-110.02</f>
        <v>42770.48</v>
      </c>
      <c r="H52" s="23">
        <v>43045.8</v>
      </c>
      <c r="I52" s="23">
        <v>44996.5</v>
      </c>
      <c r="J52" s="91"/>
      <c r="K52" s="115"/>
    </row>
    <row r="53" spans="1:11" s="40" customFormat="1" ht="15" customHeight="1">
      <c r="A53" s="76">
        <f>A52+1</f>
        <v>28</v>
      </c>
      <c r="B53" s="59" t="s">
        <v>5</v>
      </c>
      <c r="C53" s="23">
        <f>SUM(D53:I53)</f>
        <v>1181.2</v>
      </c>
      <c r="D53" s="37">
        <f>1181.2</f>
        <v>1181.2</v>
      </c>
      <c r="E53" s="37"/>
      <c r="F53" s="37"/>
      <c r="G53" s="37"/>
      <c r="H53" s="37"/>
      <c r="I53" s="42"/>
      <c r="J53" s="91"/>
      <c r="K53" s="115"/>
    </row>
    <row r="54" spans="1:11" s="35" customFormat="1" ht="15" customHeight="1">
      <c r="A54" s="75"/>
      <c r="B54" s="56"/>
      <c r="C54" s="32"/>
      <c r="D54" s="37"/>
      <c r="E54" s="37"/>
      <c r="F54" s="37"/>
      <c r="G54" s="37"/>
      <c r="H54" s="37"/>
      <c r="I54" s="42"/>
      <c r="J54" s="88"/>
      <c r="K54" s="113"/>
    </row>
    <row r="55" spans="1:11" s="40" customFormat="1" ht="48" customHeight="1">
      <c r="A55" s="77">
        <f>A53+1</f>
        <v>29</v>
      </c>
      <c r="B55" s="60" t="s">
        <v>31</v>
      </c>
      <c r="C55" s="33">
        <f>SUM(D55:I55)</f>
        <v>23808.300000000003</v>
      </c>
      <c r="D55" s="33">
        <f aca="true" t="shared" si="16" ref="D55:I55">SUM(D56)</f>
        <v>3120.2</v>
      </c>
      <c r="E55" s="33">
        <f t="shared" si="16"/>
        <v>3615</v>
      </c>
      <c r="F55" s="33">
        <f t="shared" si="16"/>
        <v>3900</v>
      </c>
      <c r="G55" s="33">
        <f t="shared" si="16"/>
        <v>4255.1</v>
      </c>
      <c r="H55" s="33">
        <f t="shared" si="16"/>
        <v>4373</v>
      </c>
      <c r="I55" s="65">
        <f t="shared" si="16"/>
        <v>4545</v>
      </c>
      <c r="J55" s="91">
        <v>38</v>
      </c>
      <c r="K55" s="115"/>
    </row>
    <row r="56" spans="1:11" s="40" customFormat="1" ht="15" customHeight="1">
      <c r="A56" s="76">
        <f>A55+1</f>
        <v>30</v>
      </c>
      <c r="B56" s="58" t="s">
        <v>3</v>
      </c>
      <c r="C56" s="23">
        <f>SUM(D56:I56)</f>
        <v>23808.300000000003</v>
      </c>
      <c r="D56" s="23">
        <v>3120.2</v>
      </c>
      <c r="E56" s="23">
        <v>3615</v>
      </c>
      <c r="F56" s="23">
        <f>3900</f>
        <v>3900</v>
      </c>
      <c r="G56" s="23">
        <v>4255.1</v>
      </c>
      <c r="H56" s="23">
        <v>4373</v>
      </c>
      <c r="I56" s="23">
        <v>4545</v>
      </c>
      <c r="J56" s="91"/>
      <c r="K56" s="115"/>
    </row>
    <row r="57" spans="1:11" s="40" customFormat="1" ht="15" customHeight="1">
      <c r="A57" s="76"/>
      <c r="B57" s="58"/>
      <c r="C57" s="36"/>
      <c r="D57" s="23"/>
      <c r="E57" s="23"/>
      <c r="F57" s="23"/>
      <c r="G57" s="23"/>
      <c r="H57" s="23"/>
      <c r="I57" s="43"/>
      <c r="J57" s="91"/>
      <c r="K57" s="115"/>
    </row>
    <row r="58" spans="1:11" s="40" customFormat="1" ht="63.75" customHeight="1">
      <c r="A58" s="77">
        <f>A56+1</f>
        <v>31</v>
      </c>
      <c r="B58" s="60" t="s">
        <v>58</v>
      </c>
      <c r="C58" s="33">
        <f>SUM(D58:I58)</f>
        <v>127030.46965</v>
      </c>
      <c r="D58" s="33">
        <f aca="true" t="shared" si="17" ref="D58:I58">SUM(D59:D60)</f>
        <v>36547.40074</v>
      </c>
      <c r="E58" s="33">
        <f t="shared" si="17"/>
        <v>17994.336</v>
      </c>
      <c r="F58" s="33">
        <f t="shared" si="17"/>
        <v>16200</v>
      </c>
      <c r="G58" s="33">
        <f t="shared" si="17"/>
        <v>21641.13291</v>
      </c>
      <c r="H58" s="33">
        <f t="shared" si="17"/>
        <v>17323.8</v>
      </c>
      <c r="I58" s="65">
        <f t="shared" si="17"/>
        <v>17323.8</v>
      </c>
      <c r="J58" s="91">
        <v>30</v>
      </c>
      <c r="K58" s="115"/>
    </row>
    <row r="59" spans="1:11" s="40" customFormat="1" ht="15" customHeight="1">
      <c r="A59" s="76">
        <f>A58+1</f>
        <v>32</v>
      </c>
      <c r="B59" s="59" t="s">
        <v>3</v>
      </c>
      <c r="C59" s="23">
        <f>SUM(D59:I59)</f>
        <v>127030.46965</v>
      </c>
      <c r="D59" s="23">
        <f>31688.52+4858.88074</f>
        <v>36547.40074</v>
      </c>
      <c r="E59" s="23">
        <f>19884.691-1456.913-433.442</f>
        <v>17994.336</v>
      </c>
      <c r="F59" s="23">
        <f>16200</f>
        <v>16200</v>
      </c>
      <c r="G59" s="124">
        <f>8640.6+4112.1948+1637.184+3785.9448+3465.20931</f>
        <v>21641.13291</v>
      </c>
      <c r="H59" s="23">
        <v>17323.8</v>
      </c>
      <c r="I59" s="23">
        <v>17323.8</v>
      </c>
      <c r="J59" s="91"/>
      <c r="K59" s="115"/>
    </row>
    <row r="60" spans="1:11" s="40" customFormat="1" ht="15" customHeight="1">
      <c r="A60" s="76">
        <f>A59+1</f>
        <v>33</v>
      </c>
      <c r="B60" s="59" t="s">
        <v>5</v>
      </c>
      <c r="C60" s="23">
        <f>SUM(D60:I60)</f>
        <v>0</v>
      </c>
      <c r="D60" s="23"/>
      <c r="E60" s="23"/>
      <c r="F60" s="23"/>
      <c r="G60" s="23"/>
      <c r="H60" s="23"/>
      <c r="I60" s="43"/>
      <c r="J60" s="91"/>
      <c r="K60" s="115"/>
    </row>
    <row r="61" spans="1:11" s="35" customFormat="1" ht="15" customHeight="1">
      <c r="A61" s="75"/>
      <c r="B61" s="59"/>
      <c r="C61" s="32"/>
      <c r="D61" s="37"/>
      <c r="E61" s="37"/>
      <c r="F61" s="37"/>
      <c r="G61" s="37"/>
      <c r="H61" s="37"/>
      <c r="I61" s="42"/>
      <c r="J61" s="88"/>
      <c r="K61" s="113"/>
    </row>
    <row r="62" spans="1:11" s="34" customFormat="1" ht="95.25" customHeight="1">
      <c r="A62" s="77">
        <f>A60+1</f>
        <v>34</v>
      </c>
      <c r="B62" s="60" t="s">
        <v>21</v>
      </c>
      <c r="C62" s="33">
        <f>SUM(D62:I62)</f>
        <v>34863.30494</v>
      </c>
      <c r="D62" s="36">
        <f aca="true" t="shared" si="18" ref="D62:I62">SUM(D63:D63)</f>
        <v>710.84455</v>
      </c>
      <c r="E62" s="36">
        <f t="shared" si="18"/>
        <v>16498.545990000002</v>
      </c>
      <c r="F62" s="36">
        <f t="shared" si="18"/>
        <v>2525.1691999999994</v>
      </c>
      <c r="G62" s="36">
        <f t="shared" si="18"/>
        <v>15128.7452</v>
      </c>
      <c r="H62" s="36">
        <f t="shared" si="18"/>
        <v>0</v>
      </c>
      <c r="I62" s="64">
        <f t="shared" si="18"/>
        <v>0</v>
      </c>
      <c r="J62" s="88">
        <v>35</v>
      </c>
      <c r="K62" s="112"/>
    </row>
    <row r="63" spans="1:11" s="40" customFormat="1" ht="15" customHeight="1">
      <c r="A63" s="76">
        <f>A62+1</f>
        <v>35</v>
      </c>
      <c r="B63" s="59" t="s">
        <v>3</v>
      </c>
      <c r="C63" s="23">
        <f>SUM(D63:I63)</f>
        <v>34863.30494</v>
      </c>
      <c r="D63" s="23">
        <f>581.851+128.99355</f>
        <v>710.84455</v>
      </c>
      <c r="E63" s="23">
        <f>7816+5050.00399+200+3432.542</f>
        <v>16498.545990000002</v>
      </c>
      <c r="F63" s="23">
        <f>4985.98-7.023-2452.3445-1.4433</f>
        <v>2525.1691999999994</v>
      </c>
      <c r="G63" s="124">
        <f>9050+586.1484-3.998-27.3412+5523.936</f>
        <v>15128.7452</v>
      </c>
      <c r="H63" s="23">
        <v>0</v>
      </c>
      <c r="I63" s="23">
        <v>0</v>
      </c>
      <c r="J63" s="91"/>
      <c r="K63" s="115"/>
    </row>
    <row r="64" spans="1:11" s="35" customFormat="1" ht="15" customHeight="1">
      <c r="A64" s="75"/>
      <c r="B64" s="59"/>
      <c r="C64" s="32"/>
      <c r="D64" s="37"/>
      <c r="E64" s="37"/>
      <c r="F64" s="37"/>
      <c r="G64" s="37"/>
      <c r="H64" s="37"/>
      <c r="I64" s="42"/>
      <c r="J64" s="88"/>
      <c r="K64" s="113"/>
    </row>
    <row r="65" spans="1:11" s="40" customFormat="1" ht="69.75" customHeight="1">
      <c r="A65" s="77">
        <f>A63+1</f>
        <v>36</v>
      </c>
      <c r="B65" s="60" t="s">
        <v>87</v>
      </c>
      <c r="C65" s="33">
        <f>SUM(D65:I65)</f>
        <v>25400</v>
      </c>
      <c r="D65" s="33">
        <f aca="true" t="shared" si="19" ref="D65:I65">SUM(D66:D67)</f>
        <v>7784</v>
      </c>
      <c r="E65" s="33">
        <f t="shared" si="19"/>
        <v>4000</v>
      </c>
      <c r="F65" s="33">
        <f t="shared" si="19"/>
        <v>4000</v>
      </c>
      <c r="G65" s="33">
        <f t="shared" si="19"/>
        <v>4808</v>
      </c>
      <c r="H65" s="33">
        <f t="shared" si="19"/>
        <v>2404</v>
      </c>
      <c r="I65" s="65">
        <f t="shared" si="19"/>
        <v>2404</v>
      </c>
      <c r="J65" s="91">
        <v>38</v>
      </c>
      <c r="K65" s="115"/>
    </row>
    <row r="66" spans="1:11" s="40" customFormat="1" ht="15" customHeight="1">
      <c r="A66" s="76">
        <f>A65+1</f>
        <v>37</v>
      </c>
      <c r="B66" s="58" t="s">
        <v>3</v>
      </c>
      <c r="C66" s="23">
        <f>SUM(D66:I66)</f>
        <v>16112.8</v>
      </c>
      <c r="D66" s="23">
        <f>2000+1892</f>
        <v>3892</v>
      </c>
      <c r="E66" s="23">
        <v>2000</v>
      </c>
      <c r="F66" s="23">
        <f>2000</f>
        <v>2000</v>
      </c>
      <c r="G66" s="23">
        <v>3412.8</v>
      </c>
      <c r="H66" s="23">
        <v>2404</v>
      </c>
      <c r="I66" s="23">
        <v>2404</v>
      </c>
      <c r="J66" s="91"/>
      <c r="K66" s="115"/>
    </row>
    <row r="67" spans="1:11" s="40" customFormat="1" ht="15" customHeight="1">
      <c r="A67" s="76">
        <f>A66+1</f>
        <v>38</v>
      </c>
      <c r="B67" s="61" t="s">
        <v>5</v>
      </c>
      <c r="C67" s="23">
        <f>SUM(D67:I67)</f>
        <v>9287.2</v>
      </c>
      <c r="D67" s="23">
        <v>3892</v>
      </c>
      <c r="E67" s="23">
        <f>2000</f>
        <v>2000</v>
      </c>
      <c r="F67" s="23">
        <v>2000</v>
      </c>
      <c r="G67" s="23">
        <v>1395.2</v>
      </c>
      <c r="H67" s="23">
        <v>0</v>
      </c>
      <c r="I67" s="43">
        <v>0</v>
      </c>
      <c r="J67" s="91"/>
      <c r="K67" s="115"/>
    </row>
    <row r="68" spans="1:11" s="40" customFormat="1" ht="15" customHeight="1">
      <c r="A68" s="76"/>
      <c r="B68" s="61"/>
      <c r="C68" s="36"/>
      <c r="D68" s="23"/>
      <c r="E68" s="23"/>
      <c r="F68" s="23"/>
      <c r="G68" s="23"/>
      <c r="H68" s="23"/>
      <c r="I68" s="43"/>
      <c r="J68" s="91"/>
      <c r="K68" s="115"/>
    </row>
    <row r="69" spans="1:11" s="40" customFormat="1" ht="63.75" customHeight="1">
      <c r="A69" s="77">
        <f>A67+1</f>
        <v>39</v>
      </c>
      <c r="B69" s="60" t="s">
        <v>18</v>
      </c>
      <c r="C69" s="33">
        <f>SUM(D69:I69)</f>
        <v>181191.289</v>
      </c>
      <c r="D69" s="33">
        <f aca="true" t="shared" si="20" ref="D69:I69">SUM(D70)</f>
        <v>36954</v>
      </c>
      <c r="E69" s="33">
        <f t="shared" si="20"/>
        <v>29142.288999999997</v>
      </c>
      <c r="F69" s="33">
        <f t="shared" si="20"/>
        <v>23296</v>
      </c>
      <c r="G69" s="33">
        <f t="shared" si="20"/>
        <v>29408</v>
      </c>
      <c r="H69" s="33">
        <f t="shared" si="20"/>
        <v>30585</v>
      </c>
      <c r="I69" s="65">
        <f t="shared" si="20"/>
        <v>31806</v>
      </c>
      <c r="J69" s="91">
        <v>21</v>
      </c>
      <c r="K69" s="115"/>
    </row>
    <row r="70" spans="1:11" s="40" customFormat="1" ht="15.75" customHeight="1">
      <c r="A70" s="76">
        <f>A69+1</f>
        <v>40</v>
      </c>
      <c r="B70" s="58" t="s">
        <v>5</v>
      </c>
      <c r="C70" s="23">
        <f>SUM(D70:I70)</f>
        <v>181191.289</v>
      </c>
      <c r="D70" s="23">
        <f>38119-1165</f>
        <v>36954</v>
      </c>
      <c r="E70" s="23">
        <f>40079-2084-2900.711-5952</f>
        <v>29142.288999999997</v>
      </c>
      <c r="F70" s="23">
        <f>21898+1398</f>
        <v>23296</v>
      </c>
      <c r="G70" s="23">
        <v>29408</v>
      </c>
      <c r="H70" s="23">
        <v>30585</v>
      </c>
      <c r="I70" s="23">
        <v>31806</v>
      </c>
      <c r="J70" s="91"/>
      <c r="K70" s="119"/>
    </row>
    <row r="71" spans="1:11" s="35" customFormat="1" ht="15" customHeight="1">
      <c r="A71" s="75"/>
      <c r="B71" s="59"/>
      <c r="C71" s="36"/>
      <c r="D71" s="37"/>
      <c r="E71" s="37"/>
      <c r="F71" s="37"/>
      <c r="G71" s="37"/>
      <c r="H71" s="37"/>
      <c r="I71" s="42"/>
      <c r="J71" s="88"/>
      <c r="K71" s="117"/>
    </row>
    <row r="72" spans="1:11" s="40" customFormat="1" ht="80.25" customHeight="1">
      <c r="A72" s="77">
        <f>A70+1</f>
        <v>41</v>
      </c>
      <c r="B72" s="60" t="s">
        <v>57</v>
      </c>
      <c r="C72" s="33">
        <f>SUM(D72:I72)</f>
        <v>105745.4</v>
      </c>
      <c r="D72" s="33">
        <f aca="true" t="shared" si="21" ref="D72:I72">SUM(D73:D74)</f>
        <v>18303.9</v>
      </c>
      <c r="E72" s="33">
        <f t="shared" si="21"/>
        <v>9942.4</v>
      </c>
      <c r="F72" s="33">
        <f t="shared" si="21"/>
        <v>16243.1</v>
      </c>
      <c r="G72" s="33">
        <f t="shared" si="21"/>
        <v>20548.6</v>
      </c>
      <c r="H72" s="33">
        <f t="shared" si="21"/>
        <v>19915.4</v>
      </c>
      <c r="I72" s="65">
        <f t="shared" si="21"/>
        <v>20792</v>
      </c>
      <c r="J72" s="91" t="s">
        <v>48</v>
      </c>
      <c r="K72" s="115"/>
    </row>
    <row r="73" spans="1:11" s="40" customFormat="1" ht="15" customHeight="1">
      <c r="A73" s="76">
        <f>A72+1</f>
        <v>42</v>
      </c>
      <c r="B73" s="58" t="s">
        <v>3</v>
      </c>
      <c r="C73" s="23">
        <f>SUM(D73:I73)</f>
        <v>31324.9</v>
      </c>
      <c r="D73" s="23">
        <v>6000</v>
      </c>
      <c r="E73" s="23">
        <f>6300-2999.1</f>
        <v>3300.9</v>
      </c>
      <c r="F73" s="23">
        <f>4500</f>
        <v>4500</v>
      </c>
      <c r="G73" s="23">
        <v>6224</v>
      </c>
      <c r="H73" s="23">
        <v>5500</v>
      </c>
      <c r="I73" s="23">
        <v>5800</v>
      </c>
      <c r="J73" s="91"/>
      <c r="K73" s="115"/>
    </row>
    <row r="74" spans="1:11" s="40" customFormat="1" ht="15" customHeight="1">
      <c r="A74" s="76">
        <f>A73+1</f>
        <v>43</v>
      </c>
      <c r="B74" s="58" t="s">
        <v>5</v>
      </c>
      <c r="C74" s="23">
        <f>SUM(D74:I74)</f>
        <v>74420.5</v>
      </c>
      <c r="D74" s="23">
        <f>12303.9</f>
        <v>12303.9</v>
      </c>
      <c r="E74" s="23">
        <f>12670.6-6029.1</f>
        <v>6641.5</v>
      </c>
      <c r="F74" s="23">
        <f>12740.7-997.6</f>
        <v>11743.1</v>
      </c>
      <c r="G74" s="23">
        <f>14009.6+315</f>
        <v>14324.6</v>
      </c>
      <c r="H74" s="23">
        <v>14415.4</v>
      </c>
      <c r="I74" s="23">
        <v>14992</v>
      </c>
      <c r="J74" s="91"/>
      <c r="K74" s="115"/>
    </row>
    <row r="75" spans="1:11" s="35" customFormat="1" ht="15" customHeight="1">
      <c r="A75" s="75"/>
      <c r="B75" s="58"/>
      <c r="C75" s="36"/>
      <c r="D75" s="37"/>
      <c r="E75" s="37"/>
      <c r="F75" s="37"/>
      <c r="G75" s="37"/>
      <c r="H75" s="37"/>
      <c r="I75" s="42"/>
      <c r="J75" s="91"/>
      <c r="K75" s="113"/>
    </row>
    <row r="76" spans="1:11" s="41" customFormat="1" ht="63" customHeight="1">
      <c r="A76" s="77">
        <f>A74+1</f>
        <v>44</v>
      </c>
      <c r="B76" s="94" t="s">
        <v>19</v>
      </c>
      <c r="C76" s="33">
        <f>SUM(D76:I76)</f>
        <v>5119.6088</v>
      </c>
      <c r="D76" s="33">
        <f aca="true" t="shared" si="22" ref="D76:I76">SUM(D77:D79)</f>
        <v>1440</v>
      </c>
      <c r="E76" s="33">
        <f t="shared" si="22"/>
        <v>0</v>
      </c>
      <c r="F76" s="33">
        <f t="shared" si="22"/>
        <v>2000</v>
      </c>
      <c r="G76" s="33">
        <f t="shared" si="22"/>
        <v>1679.6088</v>
      </c>
      <c r="H76" s="33">
        <f t="shared" si="22"/>
        <v>0</v>
      </c>
      <c r="I76" s="65">
        <f t="shared" si="22"/>
        <v>0</v>
      </c>
      <c r="J76" s="91" t="s">
        <v>49</v>
      </c>
      <c r="K76" s="116"/>
    </row>
    <row r="77" spans="1:11" s="40" customFormat="1" ht="15" customHeight="1">
      <c r="A77" s="76">
        <f>A76+1</f>
        <v>45</v>
      </c>
      <c r="B77" s="58" t="s">
        <v>3</v>
      </c>
      <c r="C77" s="23">
        <f>SUM(D77:I77)</f>
        <v>2681.6088</v>
      </c>
      <c r="D77" s="23">
        <v>522</v>
      </c>
      <c r="E77" s="23">
        <f>530-530</f>
        <v>0</v>
      </c>
      <c r="F77" s="23">
        <v>1000</v>
      </c>
      <c r="G77" s="23">
        <f>520+110.02+529.5888</f>
        <v>1159.6088</v>
      </c>
      <c r="H77" s="23">
        <v>0</v>
      </c>
      <c r="I77" s="23">
        <v>0</v>
      </c>
      <c r="J77" s="91"/>
      <c r="K77" s="115"/>
    </row>
    <row r="78" spans="1:11" s="40" customFormat="1" ht="15" customHeight="1">
      <c r="A78" s="76">
        <f>A77+1</f>
        <v>46</v>
      </c>
      <c r="B78" s="58" t="s">
        <v>5</v>
      </c>
      <c r="C78" s="23">
        <f>SUM(D78:I78)</f>
        <v>2438</v>
      </c>
      <c r="D78" s="23">
        <v>918</v>
      </c>
      <c r="E78" s="23"/>
      <c r="F78" s="23">
        <v>1000</v>
      </c>
      <c r="G78" s="23">
        <v>520</v>
      </c>
      <c r="H78" s="23">
        <v>0</v>
      </c>
      <c r="I78" s="43">
        <v>0</v>
      </c>
      <c r="J78" s="91"/>
      <c r="K78" s="115"/>
    </row>
    <row r="79" spans="1:11" s="40" customFormat="1" ht="15" customHeight="1">
      <c r="A79" s="76">
        <f>A78+1</f>
        <v>47</v>
      </c>
      <c r="B79" s="58" t="s">
        <v>4</v>
      </c>
      <c r="C79" s="23">
        <f>SUM(D79:I79)</f>
        <v>0</v>
      </c>
      <c r="D79" s="23"/>
      <c r="E79" s="23"/>
      <c r="F79" s="23"/>
      <c r="G79" s="23"/>
      <c r="H79" s="23"/>
      <c r="I79" s="43"/>
      <c r="J79" s="91"/>
      <c r="K79" s="115"/>
    </row>
    <row r="80" spans="1:11" s="35" customFormat="1" ht="15" customHeight="1">
      <c r="A80" s="75"/>
      <c r="B80" s="54"/>
      <c r="C80" s="36"/>
      <c r="D80" s="37"/>
      <c r="E80" s="37"/>
      <c r="F80" s="37"/>
      <c r="G80" s="37"/>
      <c r="H80" s="37"/>
      <c r="I80" s="42"/>
      <c r="J80" s="91"/>
      <c r="K80" s="113"/>
    </row>
    <row r="81" spans="1:11" s="40" customFormat="1" ht="50.25" customHeight="1">
      <c r="A81" s="77">
        <f>A79+1</f>
        <v>48</v>
      </c>
      <c r="B81" s="60" t="s">
        <v>24</v>
      </c>
      <c r="C81" s="33">
        <f>SUM(D81:I81)</f>
        <v>14100</v>
      </c>
      <c r="D81" s="33">
        <f aca="true" t="shared" si="23" ref="D81:I81">SUM(D82)</f>
        <v>2000</v>
      </c>
      <c r="E81" s="33">
        <f t="shared" si="23"/>
        <v>2300</v>
      </c>
      <c r="F81" s="33">
        <f t="shared" si="23"/>
        <v>2300</v>
      </c>
      <c r="G81" s="33">
        <f t="shared" si="23"/>
        <v>2400</v>
      </c>
      <c r="H81" s="33">
        <f t="shared" si="23"/>
        <v>2500</v>
      </c>
      <c r="I81" s="65">
        <f t="shared" si="23"/>
        <v>2600</v>
      </c>
      <c r="J81" s="91" t="s">
        <v>48</v>
      </c>
      <c r="K81" s="115"/>
    </row>
    <row r="82" spans="1:11" s="40" customFormat="1" ht="15" customHeight="1">
      <c r="A82" s="76">
        <f>A81+1</f>
        <v>49</v>
      </c>
      <c r="B82" s="58" t="s">
        <v>3</v>
      </c>
      <c r="C82" s="23">
        <f>SUM(D82:I82)</f>
        <v>14100</v>
      </c>
      <c r="D82" s="23">
        <v>2000</v>
      </c>
      <c r="E82" s="23">
        <v>2300</v>
      </c>
      <c r="F82" s="23">
        <f>2300</f>
        <v>2300</v>
      </c>
      <c r="G82" s="23">
        <v>2400</v>
      </c>
      <c r="H82" s="23">
        <v>2500</v>
      </c>
      <c r="I82" s="23">
        <v>2600</v>
      </c>
      <c r="J82" s="91"/>
      <c r="K82" s="115"/>
    </row>
    <row r="83" spans="1:11" s="35" customFormat="1" ht="15" customHeight="1">
      <c r="A83" s="74"/>
      <c r="B83" s="54"/>
      <c r="C83" s="33"/>
      <c r="D83" s="37"/>
      <c r="E83" s="37"/>
      <c r="F83" s="37"/>
      <c r="G83" s="37"/>
      <c r="H83" s="37"/>
      <c r="I83" s="42"/>
      <c r="J83" s="91"/>
      <c r="K83" s="113"/>
    </row>
    <row r="84" spans="1:11" s="40" customFormat="1" ht="47.25" customHeight="1">
      <c r="A84" s="77">
        <f>A82+1</f>
        <v>50</v>
      </c>
      <c r="B84" s="60" t="s">
        <v>25</v>
      </c>
      <c r="C84" s="33">
        <f>SUM(D84:I84)</f>
        <v>1000</v>
      </c>
      <c r="D84" s="33">
        <f aca="true" t="shared" si="24" ref="D84:I84">SUM(D85)</f>
        <v>1000</v>
      </c>
      <c r="E84" s="33">
        <f t="shared" si="24"/>
        <v>0</v>
      </c>
      <c r="F84" s="33">
        <f t="shared" si="24"/>
        <v>0</v>
      </c>
      <c r="G84" s="33">
        <f t="shared" si="24"/>
        <v>0</v>
      </c>
      <c r="H84" s="33">
        <f t="shared" si="24"/>
        <v>0</v>
      </c>
      <c r="I84" s="65">
        <f t="shared" si="24"/>
        <v>0</v>
      </c>
      <c r="J84" s="91" t="s">
        <v>50</v>
      </c>
      <c r="K84" s="115"/>
    </row>
    <row r="85" spans="1:11" s="40" customFormat="1" ht="15" customHeight="1">
      <c r="A85" s="76">
        <f>A84+1</f>
        <v>51</v>
      </c>
      <c r="B85" s="58" t="s">
        <v>3</v>
      </c>
      <c r="C85" s="23">
        <f>SUM(D85:I85)</f>
        <v>1000</v>
      </c>
      <c r="D85" s="23">
        <v>1000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91"/>
      <c r="K85" s="115"/>
    </row>
    <row r="86" spans="1:11" s="35" customFormat="1" ht="15" customHeight="1">
      <c r="A86" s="75"/>
      <c r="B86" s="54"/>
      <c r="C86" s="32"/>
      <c r="D86" s="37"/>
      <c r="E86" s="37"/>
      <c r="F86" s="37"/>
      <c r="G86" s="37"/>
      <c r="H86" s="37"/>
      <c r="I86" s="42"/>
      <c r="J86" s="88"/>
      <c r="K86" s="113"/>
    </row>
    <row r="87" spans="1:11" s="35" customFormat="1" ht="121.5" customHeight="1">
      <c r="A87" s="77">
        <f>A85+1</f>
        <v>52</v>
      </c>
      <c r="B87" s="60" t="s">
        <v>54</v>
      </c>
      <c r="C87" s="33">
        <f>SUM(D87:I87)</f>
        <v>2007.6165200000003</v>
      </c>
      <c r="D87" s="33">
        <f aca="true" t="shared" si="25" ref="D87:I87">SUM(D88:D88)</f>
        <v>817.9073200000001</v>
      </c>
      <c r="E87" s="33">
        <f t="shared" si="25"/>
        <v>886</v>
      </c>
      <c r="F87" s="33">
        <f t="shared" si="25"/>
        <v>99.907</v>
      </c>
      <c r="G87" s="33">
        <f t="shared" si="25"/>
        <v>203.8022</v>
      </c>
      <c r="H87" s="33">
        <f t="shared" si="25"/>
        <v>0</v>
      </c>
      <c r="I87" s="65">
        <f t="shared" si="25"/>
        <v>0</v>
      </c>
      <c r="J87" s="91" t="s">
        <v>51</v>
      </c>
      <c r="K87" s="113"/>
    </row>
    <row r="88" spans="1:11" s="35" customFormat="1" ht="15" customHeight="1">
      <c r="A88" s="76">
        <f>A87+1</f>
        <v>53</v>
      </c>
      <c r="B88" s="58" t="s">
        <v>3</v>
      </c>
      <c r="C88" s="23">
        <f>SUM(D88:I88)</f>
        <v>2007.6165200000003</v>
      </c>
      <c r="D88" s="23">
        <f>4097.64-3376.09268+96.36</f>
        <v>817.9073200000001</v>
      </c>
      <c r="E88" s="23">
        <f>800+86</f>
        <v>886</v>
      </c>
      <c r="F88" s="23">
        <f>0+99.907</f>
        <v>99.907</v>
      </c>
      <c r="G88" s="23">
        <f>31.3392+172.463</f>
        <v>203.8022</v>
      </c>
      <c r="H88" s="23">
        <v>0</v>
      </c>
      <c r="I88" s="23">
        <v>0</v>
      </c>
      <c r="J88" s="91"/>
      <c r="K88" s="113"/>
    </row>
    <row r="89" spans="1:11" s="35" customFormat="1" ht="15" customHeight="1">
      <c r="A89" s="75"/>
      <c r="B89" s="54"/>
      <c r="C89" s="32"/>
      <c r="D89" s="37"/>
      <c r="E89" s="37"/>
      <c r="F89" s="37"/>
      <c r="G89" s="37"/>
      <c r="H89" s="37"/>
      <c r="I89" s="42"/>
      <c r="J89" s="88"/>
      <c r="K89" s="113"/>
    </row>
    <row r="90" spans="1:11" s="35" customFormat="1" ht="53.25" customHeight="1">
      <c r="A90" s="77">
        <f>A88+1</f>
        <v>54</v>
      </c>
      <c r="B90" s="60" t="s">
        <v>26</v>
      </c>
      <c r="C90" s="33">
        <f>SUM(D90:I90)</f>
        <v>45564.222200000004</v>
      </c>
      <c r="D90" s="33">
        <f aca="true" t="shared" si="26" ref="D90:I90">SUM(D91:D92)</f>
        <v>11469.9</v>
      </c>
      <c r="E90" s="33">
        <f t="shared" si="26"/>
        <v>14060.864</v>
      </c>
      <c r="F90" s="33">
        <f t="shared" si="26"/>
        <v>6646.502999999999</v>
      </c>
      <c r="G90" s="33">
        <f t="shared" si="26"/>
        <v>13386.9552</v>
      </c>
      <c r="H90" s="33">
        <f t="shared" si="26"/>
        <v>0</v>
      </c>
      <c r="I90" s="65">
        <f t="shared" si="26"/>
        <v>0</v>
      </c>
      <c r="J90" s="91">
        <v>27</v>
      </c>
      <c r="K90" s="113"/>
    </row>
    <row r="91" spans="1:11" s="35" customFormat="1" ht="15" customHeight="1">
      <c r="A91" s="76">
        <f>A90+1</f>
        <v>55</v>
      </c>
      <c r="B91" s="58" t="s">
        <v>3</v>
      </c>
      <c r="C91" s="23">
        <f>SUM(D91:I91)</f>
        <v>45564.222200000004</v>
      </c>
      <c r="D91" s="23">
        <f>11855-385.1</f>
        <v>11469.9</v>
      </c>
      <c r="E91" s="23">
        <f>12861.089+1199.775</f>
        <v>14060.864</v>
      </c>
      <c r="F91" s="23">
        <f>9714.8-3068.297</f>
        <v>6646.502999999999</v>
      </c>
      <c r="G91" s="23">
        <f>14605.6-3587.2648+2368.62</f>
        <v>13386.9552</v>
      </c>
      <c r="H91" s="23">
        <v>0</v>
      </c>
      <c r="I91" s="23">
        <v>0</v>
      </c>
      <c r="J91" s="91"/>
      <c r="K91" s="113"/>
    </row>
    <row r="92" spans="1:11" s="35" customFormat="1" ht="15" customHeight="1">
      <c r="A92" s="76">
        <f>A91+1</f>
        <v>56</v>
      </c>
      <c r="B92" s="58" t="s">
        <v>5</v>
      </c>
      <c r="C92" s="23">
        <f>SUM(D92:I92)</f>
        <v>0</v>
      </c>
      <c r="D92" s="23"/>
      <c r="E92" s="23"/>
      <c r="F92" s="23"/>
      <c r="G92" s="23"/>
      <c r="H92" s="23"/>
      <c r="I92" s="43"/>
      <c r="J92" s="91"/>
      <c r="K92" s="113"/>
    </row>
    <row r="93" spans="1:11" s="35" customFormat="1" ht="15" customHeight="1">
      <c r="A93" s="75"/>
      <c r="B93" s="58"/>
      <c r="C93" s="32"/>
      <c r="D93" s="37"/>
      <c r="E93" s="37"/>
      <c r="F93" s="37"/>
      <c r="G93" s="37"/>
      <c r="H93" s="37"/>
      <c r="I93" s="42"/>
      <c r="J93" s="88"/>
      <c r="K93" s="113"/>
    </row>
    <row r="94" spans="1:11" s="41" customFormat="1" ht="47.25">
      <c r="A94" s="77">
        <f>A92+1</f>
        <v>57</v>
      </c>
      <c r="B94" s="94" t="s">
        <v>27</v>
      </c>
      <c r="C94" s="33">
        <f>SUM(D94:I94)</f>
        <v>11919.07</v>
      </c>
      <c r="D94" s="33">
        <f aca="true" t="shared" si="27" ref="D94:I94">SUM(D95:D95)</f>
        <v>2410</v>
      </c>
      <c r="E94" s="33">
        <f t="shared" si="27"/>
        <v>1494</v>
      </c>
      <c r="F94" s="33">
        <f t="shared" si="27"/>
        <v>540</v>
      </c>
      <c r="G94" s="33">
        <f t="shared" si="27"/>
        <v>3475.07</v>
      </c>
      <c r="H94" s="33">
        <f t="shared" si="27"/>
        <v>0</v>
      </c>
      <c r="I94" s="65">
        <f t="shared" si="27"/>
        <v>4000</v>
      </c>
      <c r="J94" s="91" t="s">
        <v>52</v>
      </c>
      <c r="K94" s="116"/>
    </row>
    <row r="95" spans="1:11" s="40" customFormat="1" ht="15" customHeight="1">
      <c r="A95" s="76">
        <f>A94+1</f>
        <v>58</v>
      </c>
      <c r="B95" s="58" t="s">
        <v>3</v>
      </c>
      <c r="C95" s="23">
        <f>SUM(D95:I95)</f>
        <v>11919.07</v>
      </c>
      <c r="D95" s="23">
        <f>1600+710+100</f>
        <v>2410</v>
      </c>
      <c r="E95" s="23">
        <f>1250+75.7+168.3</f>
        <v>1494</v>
      </c>
      <c r="F95" s="23">
        <f>0+540</f>
        <v>540</v>
      </c>
      <c r="G95" s="23">
        <f>4000-524.93</f>
        <v>3475.07</v>
      </c>
      <c r="H95" s="23">
        <v>0</v>
      </c>
      <c r="I95" s="23">
        <v>4000</v>
      </c>
      <c r="J95" s="91"/>
      <c r="K95" s="115"/>
    </row>
    <row r="96" spans="1:11" s="35" customFormat="1" ht="15" customHeight="1">
      <c r="A96" s="75"/>
      <c r="B96" s="59"/>
      <c r="C96" s="32"/>
      <c r="D96" s="37"/>
      <c r="E96" s="37"/>
      <c r="F96" s="37"/>
      <c r="G96" s="37"/>
      <c r="H96" s="37"/>
      <c r="I96" s="42"/>
      <c r="J96" s="88"/>
      <c r="K96" s="113"/>
    </row>
    <row r="97" spans="1:11" s="35" customFormat="1" ht="124.5" customHeight="1">
      <c r="A97" s="77">
        <f>A95+1</f>
        <v>59</v>
      </c>
      <c r="B97" s="60" t="s">
        <v>28</v>
      </c>
      <c r="C97" s="33">
        <f>SUM(D97:I97)</f>
        <v>4782.7</v>
      </c>
      <c r="D97" s="33">
        <f aca="true" t="shared" si="28" ref="D97:I97">SUM(D98:D99)</f>
        <v>781.4</v>
      </c>
      <c r="E97" s="33">
        <f t="shared" si="28"/>
        <v>517.5</v>
      </c>
      <c r="F97" s="33">
        <f t="shared" si="28"/>
        <v>739.3</v>
      </c>
      <c r="G97" s="33">
        <f t="shared" si="28"/>
        <v>879.2</v>
      </c>
      <c r="H97" s="33">
        <f t="shared" si="28"/>
        <v>914.4</v>
      </c>
      <c r="I97" s="33">
        <f t="shared" si="28"/>
        <v>950.9</v>
      </c>
      <c r="J97" s="91">
        <v>23</v>
      </c>
      <c r="K97" s="113"/>
    </row>
    <row r="98" spans="1:11" s="35" customFormat="1" ht="15" customHeight="1">
      <c r="A98" s="76">
        <f>A97+1</f>
        <v>60</v>
      </c>
      <c r="B98" s="58" t="s">
        <v>3</v>
      </c>
      <c r="C98" s="33">
        <f>SUM(D98:I98)</f>
        <v>0</v>
      </c>
      <c r="D98" s="23"/>
      <c r="E98" s="23">
        <v>0</v>
      </c>
      <c r="F98" s="23"/>
      <c r="G98" s="23"/>
      <c r="H98" s="23"/>
      <c r="I98" s="23"/>
      <c r="J98" s="91"/>
      <c r="K98" s="113"/>
    </row>
    <row r="99" spans="1:11" s="35" customFormat="1" ht="15" customHeight="1">
      <c r="A99" s="76">
        <f>A98+1</f>
        <v>61</v>
      </c>
      <c r="B99" s="58" t="s">
        <v>5</v>
      </c>
      <c r="C99" s="33">
        <f>SUM(D99:I99)</f>
        <v>4782.7</v>
      </c>
      <c r="D99" s="23">
        <v>781.4</v>
      </c>
      <c r="E99" s="23">
        <f>739.3-221.8</f>
        <v>517.5</v>
      </c>
      <c r="F99" s="23">
        <f>739.3</f>
        <v>739.3</v>
      </c>
      <c r="G99" s="23">
        <v>879.2</v>
      </c>
      <c r="H99" s="23">
        <v>914.4</v>
      </c>
      <c r="I99" s="43">
        <v>950.9</v>
      </c>
      <c r="J99" s="91"/>
      <c r="K99" s="113"/>
    </row>
    <row r="100" spans="1:11" s="35" customFormat="1" ht="15" customHeight="1">
      <c r="A100" s="75"/>
      <c r="B100" s="56"/>
      <c r="C100" s="32"/>
      <c r="D100" s="37"/>
      <c r="E100" s="37"/>
      <c r="F100" s="37"/>
      <c r="G100" s="37"/>
      <c r="H100" s="37"/>
      <c r="I100" s="42"/>
      <c r="J100" s="88"/>
      <c r="K100" s="113"/>
    </row>
    <row r="101" spans="1:11" s="35" customFormat="1" ht="68.25" customHeight="1">
      <c r="A101" s="77">
        <f>A99+1</f>
        <v>62</v>
      </c>
      <c r="B101" s="60" t="s">
        <v>29</v>
      </c>
      <c r="C101" s="33">
        <f>SUM(D101:I101)</f>
        <v>1481.289</v>
      </c>
      <c r="D101" s="33">
        <f aca="true" t="shared" si="29" ref="D101:I101">SUM(D102:D104)</f>
        <v>1481.289</v>
      </c>
      <c r="E101" s="33">
        <f t="shared" si="29"/>
        <v>0</v>
      </c>
      <c r="F101" s="33">
        <f t="shared" si="29"/>
        <v>0</v>
      </c>
      <c r="G101" s="33">
        <f t="shared" si="29"/>
        <v>0</v>
      </c>
      <c r="H101" s="33">
        <f t="shared" si="29"/>
        <v>0</v>
      </c>
      <c r="I101" s="65">
        <f t="shared" si="29"/>
        <v>0</v>
      </c>
      <c r="J101" s="91">
        <v>28</v>
      </c>
      <c r="K101" s="113"/>
    </row>
    <row r="102" spans="1:11" s="35" customFormat="1" ht="15" customHeight="1">
      <c r="A102" s="76">
        <f>A101+1</f>
        <v>63</v>
      </c>
      <c r="B102" s="58" t="s">
        <v>3</v>
      </c>
      <c r="C102" s="23">
        <f>SUM(D102:I102)</f>
        <v>329.8</v>
      </c>
      <c r="D102" s="23">
        <f>500-170.2</f>
        <v>329.8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91"/>
      <c r="K102" s="113"/>
    </row>
    <row r="103" spans="1:11" s="35" customFormat="1" ht="15" customHeight="1">
      <c r="A103" s="76">
        <f>A102+1</f>
        <v>64</v>
      </c>
      <c r="B103" s="58" t="s">
        <v>5</v>
      </c>
      <c r="C103" s="23">
        <f>SUM(D103:I103)</f>
        <v>1151.489</v>
      </c>
      <c r="D103" s="23">
        <v>1151.489</v>
      </c>
      <c r="E103" s="23"/>
      <c r="F103" s="23">
        <v>0</v>
      </c>
      <c r="G103" s="23">
        <v>0</v>
      </c>
      <c r="H103" s="23">
        <v>0</v>
      </c>
      <c r="I103" s="43">
        <v>0</v>
      </c>
      <c r="J103" s="91"/>
      <c r="K103" s="113"/>
    </row>
    <row r="104" spans="1:11" s="35" customFormat="1" ht="15" customHeight="1">
      <c r="A104" s="76">
        <f>A103+1</f>
        <v>65</v>
      </c>
      <c r="B104" s="58" t="s">
        <v>4</v>
      </c>
      <c r="C104" s="23">
        <f>SUM(D104:I104)</f>
        <v>0</v>
      </c>
      <c r="D104" s="23"/>
      <c r="E104" s="23"/>
      <c r="F104" s="23"/>
      <c r="G104" s="23"/>
      <c r="H104" s="23"/>
      <c r="I104" s="43"/>
      <c r="J104" s="91"/>
      <c r="K104" s="113"/>
    </row>
    <row r="105" spans="1:11" s="35" customFormat="1" ht="15" customHeight="1">
      <c r="A105" s="75"/>
      <c r="B105" s="59"/>
      <c r="C105" s="32"/>
      <c r="D105" s="37"/>
      <c r="E105" s="37"/>
      <c r="F105" s="37"/>
      <c r="G105" s="37"/>
      <c r="H105" s="37"/>
      <c r="I105" s="42"/>
      <c r="J105" s="88"/>
      <c r="K105" s="113"/>
    </row>
    <row r="106" spans="1:11" s="40" customFormat="1" ht="78.75">
      <c r="A106" s="77">
        <f>A104+1</f>
        <v>66</v>
      </c>
      <c r="B106" s="60" t="s">
        <v>60</v>
      </c>
      <c r="C106" s="33">
        <f>SUM(D106:I106)</f>
        <v>0</v>
      </c>
      <c r="D106" s="33">
        <f aca="true" t="shared" si="30" ref="D106:I106">SUM(D107:D109)</f>
        <v>0</v>
      </c>
      <c r="E106" s="33">
        <f t="shared" si="30"/>
        <v>0</v>
      </c>
      <c r="F106" s="33">
        <f t="shared" si="30"/>
        <v>0</v>
      </c>
      <c r="G106" s="33">
        <f t="shared" si="30"/>
        <v>0</v>
      </c>
      <c r="H106" s="33">
        <f t="shared" si="30"/>
        <v>0</v>
      </c>
      <c r="I106" s="65">
        <f t="shared" si="30"/>
        <v>0</v>
      </c>
      <c r="J106" s="91">
        <v>25</v>
      </c>
      <c r="K106" s="115"/>
    </row>
    <row r="107" spans="1:11" s="35" customFormat="1" ht="15" customHeight="1">
      <c r="A107" s="76">
        <f>A106+1</f>
        <v>67</v>
      </c>
      <c r="B107" s="58" t="s">
        <v>3</v>
      </c>
      <c r="C107" s="23">
        <f>SUM(D107:I107)</f>
        <v>0</v>
      </c>
      <c r="D107" s="23">
        <v>0</v>
      </c>
      <c r="E107" s="23">
        <f>2600-2600</f>
        <v>0</v>
      </c>
      <c r="F107" s="23">
        <v>0</v>
      </c>
      <c r="G107" s="23">
        <v>0</v>
      </c>
      <c r="H107" s="23">
        <v>0</v>
      </c>
      <c r="I107" s="43">
        <v>0</v>
      </c>
      <c r="J107" s="91"/>
      <c r="K107" s="113"/>
    </row>
    <row r="108" spans="1:11" s="35" customFormat="1" ht="15" customHeight="1">
      <c r="A108" s="76">
        <f>A107+1</f>
        <v>68</v>
      </c>
      <c r="B108" s="58" t="s">
        <v>5</v>
      </c>
      <c r="C108" s="23">
        <f>SUM(D108:I108)</f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43">
        <v>0</v>
      </c>
      <c r="J108" s="91"/>
      <c r="K108" s="113"/>
    </row>
    <row r="109" spans="1:11" s="35" customFormat="1" ht="15" customHeight="1">
      <c r="A109" s="76">
        <f>A108+1</f>
        <v>69</v>
      </c>
      <c r="B109" s="58" t="s">
        <v>4</v>
      </c>
      <c r="C109" s="23">
        <f>SUM(D109:I109)</f>
        <v>0</v>
      </c>
      <c r="D109" s="23"/>
      <c r="E109" s="23"/>
      <c r="F109" s="23"/>
      <c r="G109" s="23"/>
      <c r="H109" s="23"/>
      <c r="I109" s="43"/>
      <c r="J109" s="91"/>
      <c r="K109" s="113"/>
    </row>
    <row r="110" spans="1:11" s="35" customFormat="1" ht="15" customHeight="1">
      <c r="A110" s="75"/>
      <c r="B110" s="59"/>
      <c r="C110" s="36"/>
      <c r="D110" s="37"/>
      <c r="E110" s="37"/>
      <c r="F110" s="37"/>
      <c r="G110" s="37"/>
      <c r="H110" s="37"/>
      <c r="I110" s="42"/>
      <c r="J110" s="88"/>
      <c r="K110" s="113"/>
    </row>
    <row r="111" spans="1:11" s="35" customFormat="1" ht="99" customHeight="1">
      <c r="A111" s="77">
        <f>A109+1</f>
        <v>70</v>
      </c>
      <c r="B111" s="60" t="s">
        <v>69</v>
      </c>
      <c r="C111" s="33">
        <f>SUM(D111:I111)</f>
        <v>146712.16999999998</v>
      </c>
      <c r="D111" s="33">
        <f aca="true" t="shared" si="31" ref="D111:I111">SUM(D112:D115)</f>
        <v>103839.38</v>
      </c>
      <c r="E111" s="33">
        <f t="shared" si="31"/>
        <v>42872.78999999999</v>
      </c>
      <c r="F111" s="33">
        <f t="shared" si="31"/>
        <v>0</v>
      </c>
      <c r="G111" s="33">
        <f t="shared" si="31"/>
        <v>0</v>
      </c>
      <c r="H111" s="33">
        <f t="shared" si="31"/>
        <v>0</v>
      </c>
      <c r="I111" s="65">
        <f t="shared" si="31"/>
        <v>0</v>
      </c>
      <c r="J111" s="91" t="s">
        <v>70</v>
      </c>
      <c r="K111" s="113"/>
    </row>
    <row r="112" spans="1:11" s="35" customFormat="1" ht="30" customHeight="1">
      <c r="A112" s="76">
        <f>A111+1</f>
        <v>71</v>
      </c>
      <c r="B112" s="58" t="s">
        <v>81</v>
      </c>
      <c r="C112" s="23">
        <f>SUM(D112:I112)</f>
        <v>2857.138</v>
      </c>
      <c r="D112" s="23"/>
      <c r="E112" s="23">
        <f>2857.138</f>
        <v>2857.138</v>
      </c>
      <c r="F112" s="23">
        <v>0</v>
      </c>
      <c r="G112" s="23">
        <v>0</v>
      </c>
      <c r="H112" s="23">
        <v>0</v>
      </c>
      <c r="I112" s="43">
        <v>0</v>
      </c>
      <c r="J112" s="91"/>
      <c r="K112" s="113"/>
    </row>
    <row r="113" spans="1:11" s="35" customFormat="1" ht="15" customHeight="1">
      <c r="A113" s="76">
        <f>A112+1</f>
        <v>72</v>
      </c>
      <c r="B113" s="58" t="s">
        <v>3</v>
      </c>
      <c r="C113" s="23">
        <f>SUM(D113:I113)</f>
        <v>43156.509600000005</v>
      </c>
      <c r="D113" s="23">
        <f>30279.2+872.614</f>
        <v>31151.814000000002</v>
      </c>
      <c r="E113" s="23">
        <v>12004.6956</v>
      </c>
      <c r="F113" s="23">
        <v>0</v>
      </c>
      <c r="G113" s="23">
        <v>0</v>
      </c>
      <c r="H113" s="23">
        <v>0</v>
      </c>
      <c r="I113" s="43">
        <v>0</v>
      </c>
      <c r="J113" s="91"/>
      <c r="K113" s="113"/>
    </row>
    <row r="114" spans="1:11" s="35" customFormat="1" ht="15" customHeight="1">
      <c r="A114" s="76">
        <f>A113+1</f>
        <v>73</v>
      </c>
      <c r="B114" s="58" t="s">
        <v>5</v>
      </c>
      <c r="C114" s="23">
        <f>SUM(D114:I114)</f>
        <v>100698.5224</v>
      </c>
      <c r="D114" s="23">
        <f>72687.566</f>
        <v>72687.566</v>
      </c>
      <c r="E114" s="23">
        <f>28010.9564</f>
        <v>28010.9564</v>
      </c>
      <c r="F114" s="23">
        <v>0</v>
      </c>
      <c r="G114" s="23">
        <v>0</v>
      </c>
      <c r="H114" s="23">
        <v>0</v>
      </c>
      <c r="I114" s="43">
        <v>0</v>
      </c>
      <c r="J114" s="91"/>
      <c r="K114" s="113"/>
    </row>
    <row r="115" spans="1:11" s="35" customFormat="1" ht="15" customHeight="1">
      <c r="A115" s="76">
        <f>A114+1</f>
        <v>74</v>
      </c>
      <c r="B115" s="58" t="s">
        <v>4</v>
      </c>
      <c r="C115" s="23">
        <f>SUM(D115:I115)</f>
        <v>0</v>
      </c>
      <c r="D115" s="23"/>
      <c r="E115" s="23"/>
      <c r="F115" s="23"/>
      <c r="G115" s="23"/>
      <c r="H115" s="23"/>
      <c r="I115" s="43"/>
      <c r="J115" s="91"/>
      <c r="K115" s="113"/>
    </row>
    <row r="116" spans="1:11" s="35" customFormat="1" ht="15" customHeight="1">
      <c r="A116" s="76"/>
      <c r="B116" s="59"/>
      <c r="C116" s="37"/>
      <c r="D116" s="37"/>
      <c r="E116" s="37"/>
      <c r="F116" s="37"/>
      <c r="G116" s="37"/>
      <c r="H116" s="37"/>
      <c r="I116" s="42"/>
      <c r="J116" s="91"/>
      <c r="K116" s="113"/>
    </row>
    <row r="117" spans="1:11" s="40" customFormat="1" ht="126">
      <c r="A117" s="77">
        <f>A115+1</f>
        <v>75</v>
      </c>
      <c r="B117" s="60" t="s">
        <v>59</v>
      </c>
      <c r="C117" s="33">
        <f>SUM(D117:I117)</f>
        <v>9242.06</v>
      </c>
      <c r="D117" s="33">
        <f aca="true" t="shared" si="32" ref="D117:I117">SUM(D118:D119)</f>
        <v>1488.8</v>
      </c>
      <c r="E117" s="33">
        <f t="shared" si="32"/>
        <v>894.86</v>
      </c>
      <c r="F117" s="33">
        <f t="shared" si="32"/>
        <v>1541.4</v>
      </c>
      <c r="G117" s="33">
        <f t="shared" si="32"/>
        <v>1703.3</v>
      </c>
      <c r="H117" s="33">
        <f t="shared" si="32"/>
        <v>1771.4</v>
      </c>
      <c r="I117" s="65">
        <f t="shared" si="32"/>
        <v>1842.3</v>
      </c>
      <c r="J117" s="91" t="s">
        <v>48</v>
      </c>
      <c r="K117" s="115"/>
    </row>
    <row r="118" spans="1:11" s="40" customFormat="1" ht="15" customHeight="1">
      <c r="A118" s="76">
        <f>A117+1</f>
        <v>76</v>
      </c>
      <c r="B118" s="58" t="s">
        <v>3</v>
      </c>
      <c r="C118" s="23">
        <f>SUM(D118:I118)</f>
        <v>0</v>
      </c>
      <c r="D118" s="23"/>
      <c r="E118" s="23"/>
      <c r="F118" s="23"/>
      <c r="G118" s="23"/>
      <c r="H118" s="23"/>
      <c r="I118" s="23"/>
      <c r="J118" s="91"/>
      <c r="K118" s="115"/>
    </row>
    <row r="119" spans="1:11" s="40" customFormat="1" ht="15" customHeight="1">
      <c r="A119" s="76">
        <f>A118+1</f>
        <v>77</v>
      </c>
      <c r="B119" s="58" t="s">
        <v>5</v>
      </c>
      <c r="C119" s="23">
        <f>SUM(D119:I119)</f>
        <v>9242.06</v>
      </c>
      <c r="D119" s="23">
        <v>1488.8</v>
      </c>
      <c r="E119" s="23">
        <f>1590.2-695.34</f>
        <v>894.86</v>
      </c>
      <c r="F119" s="23">
        <f>1541.4</f>
        <v>1541.4</v>
      </c>
      <c r="G119" s="23">
        <v>1703.3</v>
      </c>
      <c r="H119" s="23">
        <v>1771.4</v>
      </c>
      <c r="I119" s="23">
        <v>1842.3</v>
      </c>
      <c r="J119" s="91"/>
      <c r="K119" s="115"/>
    </row>
    <row r="120" spans="1:11" s="35" customFormat="1" ht="15" customHeight="1">
      <c r="A120" s="76"/>
      <c r="B120" s="59"/>
      <c r="C120" s="37"/>
      <c r="D120" s="37"/>
      <c r="E120" s="37"/>
      <c r="F120" s="37"/>
      <c r="G120" s="37"/>
      <c r="H120" s="37"/>
      <c r="I120" s="42"/>
      <c r="J120" s="91"/>
      <c r="K120" s="113"/>
    </row>
    <row r="121" spans="1:11" s="40" customFormat="1" ht="94.5">
      <c r="A121" s="77">
        <f>A119+1</f>
        <v>78</v>
      </c>
      <c r="B121" s="60" t="s">
        <v>63</v>
      </c>
      <c r="C121" s="33">
        <f>SUM(D121:I121)</f>
        <v>3540.9266799999996</v>
      </c>
      <c r="D121" s="33">
        <f aca="true" t="shared" si="33" ref="D121:I121">SUM(D122:D123)</f>
        <v>3540.9266799999996</v>
      </c>
      <c r="E121" s="33">
        <f t="shared" si="33"/>
        <v>0</v>
      </c>
      <c r="F121" s="33">
        <f t="shared" si="33"/>
        <v>0</v>
      </c>
      <c r="G121" s="33">
        <f t="shared" si="33"/>
        <v>0</v>
      </c>
      <c r="H121" s="33">
        <f t="shared" si="33"/>
        <v>0</v>
      </c>
      <c r="I121" s="65">
        <f t="shared" si="33"/>
        <v>0</v>
      </c>
      <c r="J121" s="91" t="s">
        <v>65</v>
      </c>
      <c r="K121" s="115"/>
    </row>
    <row r="122" spans="1:11" s="40" customFormat="1" ht="15" customHeight="1">
      <c r="A122" s="76">
        <f>A121+1</f>
        <v>79</v>
      </c>
      <c r="B122" s="58" t="s">
        <v>3</v>
      </c>
      <c r="C122" s="23">
        <f>SUM(D122:I122)</f>
        <v>354.09268</v>
      </c>
      <c r="D122" s="23">
        <v>354.09268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91"/>
      <c r="K122" s="115"/>
    </row>
    <row r="123" spans="1:11" s="40" customFormat="1" ht="15" customHeight="1">
      <c r="A123" s="76">
        <f>A122+1</f>
        <v>80</v>
      </c>
      <c r="B123" s="58" t="s">
        <v>5</v>
      </c>
      <c r="C123" s="23">
        <f>SUM(D123:I123)</f>
        <v>3186.834</v>
      </c>
      <c r="D123" s="23">
        <v>3186.834</v>
      </c>
      <c r="E123" s="23"/>
      <c r="F123" s="23"/>
      <c r="G123" s="23"/>
      <c r="H123" s="23"/>
      <c r="I123" s="23"/>
      <c r="J123" s="91"/>
      <c r="K123" s="115"/>
    </row>
    <row r="124" spans="1:11" s="35" customFormat="1" ht="15" customHeight="1">
      <c r="A124" s="77"/>
      <c r="B124" s="58"/>
      <c r="C124" s="23"/>
      <c r="D124" s="23"/>
      <c r="E124" s="23"/>
      <c r="F124" s="23"/>
      <c r="G124" s="23"/>
      <c r="H124" s="23"/>
      <c r="I124" s="23"/>
      <c r="J124" s="91"/>
      <c r="K124" s="113"/>
    </row>
    <row r="125" spans="1:11" s="40" customFormat="1" ht="84.75" customHeight="1">
      <c r="A125" s="77">
        <f>A123+1</f>
        <v>81</v>
      </c>
      <c r="B125" s="60" t="s">
        <v>64</v>
      </c>
      <c r="C125" s="33">
        <f>SUM(D125:I125)</f>
        <v>1679.132</v>
      </c>
      <c r="D125" s="33">
        <f aca="true" t="shared" si="34" ref="D125:I125">SUM(D126:D127)</f>
        <v>1679.132</v>
      </c>
      <c r="E125" s="33">
        <f t="shared" si="34"/>
        <v>0</v>
      </c>
      <c r="F125" s="33">
        <f t="shared" si="34"/>
        <v>0</v>
      </c>
      <c r="G125" s="33">
        <f t="shared" si="34"/>
        <v>0</v>
      </c>
      <c r="H125" s="33">
        <f t="shared" si="34"/>
        <v>0</v>
      </c>
      <c r="I125" s="65">
        <f t="shared" si="34"/>
        <v>0</v>
      </c>
      <c r="J125" s="91" t="s">
        <v>65</v>
      </c>
      <c r="K125" s="115"/>
    </row>
    <row r="126" spans="1:11" s="40" customFormat="1" ht="15" customHeight="1">
      <c r="A126" s="76">
        <f>A125+1</f>
        <v>82</v>
      </c>
      <c r="B126" s="58" t="s">
        <v>3</v>
      </c>
      <c r="C126" s="23">
        <f>SUM(D126:I126)</f>
        <v>1000</v>
      </c>
      <c r="D126" s="23">
        <v>1000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91"/>
      <c r="K126" s="115"/>
    </row>
    <row r="127" spans="1:11" s="40" customFormat="1" ht="15" customHeight="1">
      <c r="A127" s="76">
        <f>A126+1</f>
        <v>83</v>
      </c>
      <c r="B127" s="58" t="s">
        <v>5</v>
      </c>
      <c r="C127" s="23">
        <f>SUM(D127:I127)</f>
        <v>679.132</v>
      </c>
      <c r="D127" s="23">
        <v>679.132</v>
      </c>
      <c r="E127" s="23"/>
      <c r="F127" s="23"/>
      <c r="G127" s="23"/>
      <c r="H127" s="23"/>
      <c r="I127" s="23"/>
      <c r="J127" s="91"/>
      <c r="K127" s="115"/>
    </row>
    <row r="128" spans="1:11" s="40" customFormat="1" ht="15" customHeight="1">
      <c r="A128" s="76"/>
      <c r="B128" s="58"/>
      <c r="C128" s="23"/>
      <c r="D128" s="23"/>
      <c r="E128" s="23"/>
      <c r="F128" s="23"/>
      <c r="G128" s="23"/>
      <c r="H128" s="23"/>
      <c r="I128" s="23"/>
      <c r="J128" s="91"/>
      <c r="K128" s="115"/>
    </row>
    <row r="129" spans="1:11" s="41" customFormat="1" ht="204.75">
      <c r="A129" s="77">
        <f>A127+1</f>
        <v>84</v>
      </c>
      <c r="B129" s="94" t="s">
        <v>92</v>
      </c>
      <c r="C129" s="33">
        <f>SUM(D129:I129)</f>
        <v>20370.53654</v>
      </c>
      <c r="D129" s="33">
        <f aca="true" t="shared" si="35" ref="D129:I129">SUM(D130:D130)</f>
        <v>1115.35724</v>
      </c>
      <c r="E129" s="33">
        <f t="shared" si="35"/>
        <v>3552</v>
      </c>
      <c r="F129" s="33">
        <f t="shared" si="35"/>
        <v>1603.1792999999998</v>
      </c>
      <c r="G129" s="33">
        <f t="shared" si="35"/>
        <v>4000</v>
      </c>
      <c r="H129" s="33">
        <f t="shared" si="35"/>
        <v>5000</v>
      </c>
      <c r="I129" s="65">
        <f t="shared" si="35"/>
        <v>5100</v>
      </c>
      <c r="J129" s="91" t="s">
        <v>71</v>
      </c>
      <c r="K129" s="116"/>
    </row>
    <row r="130" spans="1:11" s="40" customFormat="1" ht="15" customHeight="1">
      <c r="A130" s="76">
        <f>A129+1</f>
        <v>85</v>
      </c>
      <c r="B130" s="58" t="s">
        <v>3</v>
      </c>
      <c r="C130" s="23">
        <f>SUM(D130:I130)</f>
        <v>20370.53654</v>
      </c>
      <c r="D130" s="23">
        <v>1115.35724</v>
      </c>
      <c r="E130" s="23">
        <v>3552</v>
      </c>
      <c r="F130" s="23">
        <f>4115.7-2512.5207</f>
        <v>1603.1792999999998</v>
      </c>
      <c r="G130" s="23">
        <v>4000</v>
      </c>
      <c r="H130" s="23">
        <v>5000</v>
      </c>
      <c r="I130" s="23">
        <v>5100</v>
      </c>
      <c r="J130" s="91"/>
      <c r="K130" s="115"/>
    </row>
    <row r="131" spans="1:11" s="40" customFormat="1" ht="15" customHeight="1">
      <c r="A131" s="76"/>
      <c r="B131" s="58"/>
      <c r="C131" s="23"/>
      <c r="D131" s="23"/>
      <c r="E131" s="23"/>
      <c r="F131" s="23"/>
      <c r="G131" s="23"/>
      <c r="H131" s="23"/>
      <c r="I131" s="43"/>
      <c r="J131" s="91"/>
      <c r="K131" s="115"/>
    </row>
    <row r="132" spans="1:11" s="41" customFormat="1" ht="36" customHeight="1">
      <c r="A132" s="76">
        <f>A130+1</f>
        <v>86</v>
      </c>
      <c r="B132" s="104" t="s">
        <v>73</v>
      </c>
      <c r="C132" s="33">
        <f>SUM(D132:I132)</f>
        <v>87094.01427999999</v>
      </c>
      <c r="D132" s="33">
        <f aca="true" t="shared" si="36" ref="D132:I132">SUM(D133:D134)</f>
        <v>0</v>
      </c>
      <c r="E132" s="33">
        <f t="shared" si="36"/>
        <v>15145.88571</v>
      </c>
      <c r="F132" s="33">
        <f t="shared" si="36"/>
        <v>16625.3</v>
      </c>
      <c r="G132" s="33">
        <f t="shared" si="36"/>
        <v>16162.92857</v>
      </c>
      <c r="H132" s="33">
        <f t="shared" si="36"/>
        <v>16860.1</v>
      </c>
      <c r="I132" s="65">
        <f t="shared" si="36"/>
        <v>22299.8</v>
      </c>
      <c r="J132" s="91" t="s">
        <v>74</v>
      </c>
      <c r="K132" s="116"/>
    </row>
    <row r="133" spans="1:11" s="40" customFormat="1" ht="15" customHeight="1">
      <c r="A133" s="76">
        <f>A132+1</f>
        <v>87</v>
      </c>
      <c r="B133" s="58" t="s">
        <v>3</v>
      </c>
      <c r="C133" s="23">
        <f>SUM(D133:I133)</f>
        <v>87094.01427999999</v>
      </c>
      <c r="D133" s="23">
        <v>0</v>
      </c>
      <c r="E133" s="23">
        <f>15158.1-12.21429</f>
        <v>15145.88571</v>
      </c>
      <c r="F133" s="23">
        <f>16000+625.3</f>
        <v>16625.3</v>
      </c>
      <c r="G133" s="23">
        <v>16162.92857</v>
      </c>
      <c r="H133" s="23">
        <v>16860.1</v>
      </c>
      <c r="I133" s="23">
        <v>22299.8</v>
      </c>
      <c r="J133" s="91"/>
      <c r="K133" s="115"/>
    </row>
    <row r="134" spans="1:11" s="40" customFormat="1" ht="15" customHeight="1">
      <c r="A134" s="76">
        <f>A133+1</f>
        <v>88</v>
      </c>
      <c r="B134" s="58" t="s">
        <v>5</v>
      </c>
      <c r="C134" s="23">
        <f>SUM(D134:I134)</f>
        <v>0</v>
      </c>
      <c r="D134" s="23"/>
      <c r="E134" s="23"/>
      <c r="F134" s="23"/>
      <c r="G134" s="23"/>
      <c r="H134" s="23"/>
      <c r="I134" s="43"/>
      <c r="J134" s="91"/>
      <c r="K134" s="115"/>
    </row>
    <row r="135" spans="1:11" s="40" customFormat="1" ht="15" customHeight="1">
      <c r="A135" s="76"/>
      <c r="B135" s="58"/>
      <c r="C135" s="23"/>
      <c r="D135" s="23"/>
      <c r="E135" s="23"/>
      <c r="F135" s="23"/>
      <c r="G135" s="23"/>
      <c r="H135" s="23"/>
      <c r="I135" s="43"/>
      <c r="J135" s="91"/>
      <c r="K135" s="115"/>
    </row>
    <row r="136" spans="1:11" s="40" customFormat="1" ht="113.25" customHeight="1">
      <c r="A136" s="76">
        <f>A134+1</f>
        <v>89</v>
      </c>
      <c r="B136" s="103" t="s">
        <v>85</v>
      </c>
      <c r="C136" s="33">
        <f>SUM(D136:I136)</f>
        <v>10500</v>
      </c>
      <c r="D136" s="33">
        <f aca="true" t="shared" si="37" ref="D136:I136">SUM(D137:D138)</f>
        <v>0</v>
      </c>
      <c r="E136" s="33">
        <f t="shared" si="37"/>
        <v>3000</v>
      </c>
      <c r="F136" s="33">
        <f t="shared" si="37"/>
        <v>1500</v>
      </c>
      <c r="G136" s="33">
        <f t="shared" si="37"/>
        <v>6000</v>
      </c>
      <c r="H136" s="33">
        <f t="shared" si="37"/>
        <v>0</v>
      </c>
      <c r="I136" s="65">
        <f t="shared" si="37"/>
        <v>0</v>
      </c>
      <c r="J136" s="91" t="s">
        <v>75</v>
      </c>
      <c r="K136" s="115"/>
    </row>
    <row r="137" spans="1:11" s="40" customFormat="1" ht="15" customHeight="1">
      <c r="A137" s="76">
        <f>A136+1</f>
        <v>90</v>
      </c>
      <c r="B137" s="102" t="s">
        <v>3</v>
      </c>
      <c r="C137" s="23">
        <f>SUM(D137:I137)</f>
        <v>10500</v>
      </c>
      <c r="D137" s="23">
        <v>0</v>
      </c>
      <c r="E137" s="23">
        <v>3000</v>
      </c>
      <c r="F137" s="23">
        <f>3000-1000-500</f>
        <v>1500</v>
      </c>
      <c r="G137" s="23">
        <v>6000</v>
      </c>
      <c r="H137" s="23">
        <v>0</v>
      </c>
      <c r="I137" s="23">
        <v>0</v>
      </c>
      <c r="J137" s="91"/>
      <c r="K137" s="115"/>
    </row>
    <row r="138" spans="1:11" s="40" customFormat="1" ht="15" customHeight="1">
      <c r="A138" s="76">
        <f>A137+1</f>
        <v>91</v>
      </c>
      <c r="B138" s="102" t="s">
        <v>5</v>
      </c>
      <c r="C138" s="23">
        <f>SUM(D138:I138)</f>
        <v>0</v>
      </c>
      <c r="D138" s="23"/>
      <c r="E138" s="23"/>
      <c r="F138" s="23"/>
      <c r="G138" s="23"/>
      <c r="H138" s="23"/>
      <c r="I138" s="43"/>
      <c r="J138" s="91"/>
      <c r="K138" s="115"/>
    </row>
    <row r="139" spans="1:11" s="40" customFormat="1" ht="15" customHeight="1">
      <c r="A139" s="76"/>
      <c r="B139" s="102"/>
      <c r="C139" s="23"/>
      <c r="D139" s="23"/>
      <c r="E139" s="23"/>
      <c r="F139" s="23"/>
      <c r="G139" s="23"/>
      <c r="H139" s="23"/>
      <c r="I139" s="43"/>
      <c r="J139" s="91"/>
      <c r="K139" s="115"/>
    </row>
    <row r="140" spans="1:11" s="41" customFormat="1" ht="83.25" customHeight="1">
      <c r="A140" s="76">
        <f>A138+1</f>
        <v>92</v>
      </c>
      <c r="B140" s="104" t="s">
        <v>91</v>
      </c>
      <c r="C140" s="33">
        <f>SUM(D140:I140)</f>
        <v>176.42872</v>
      </c>
      <c r="D140" s="33">
        <f aca="true" t="shared" si="38" ref="D140:I140">SUM(D141:D142)</f>
        <v>0</v>
      </c>
      <c r="E140" s="33">
        <f t="shared" si="38"/>
        <v>40.71429</v>
      </c>
      <c r="F140" s="33">
        <f t="shared" si="38"/>
        <v>70.143</v>
      </c>
      <c r="G140" s="33">
        <f t="shared" si="38"/>
        <v>65.57142999999999</v>
      </c>
      <c r="H140" s="33">
        <f t="shared" si="38"/>
        <v>0</v>
      </c>
      <c r="I140" s="65">
        <f t="shared" si="38"/>
        <v>0</v>
      </c>
      <c r="J140" s="91" t="s">
        <v>74</v>
      </c>
      <c r="K140" s="116"/>
    </row>
    <row r="141" spans="1:11" s="40" customFormat="1" ht="15" customHeight="1">
      <c r="A141" s="76">
        <f>A140+1</f>
        <v>93</v>
      </c>
      <c r="B141" s="58" t="s">
        <v>3</v>
      </c>
      <c r="C141" s="23">
        <f>SUM(D141:I141)</f>
        <v>52.92872</v>
      </c>
      <c r="D141" s="23"/>
      <c r="E141" s="23">
        <f>12.21429</f>
        <v>12.21429</v>
      </c>
      <c r="F141" s="23">
        <f>14.02+7.023</f>
        <v>21.043</v>
      </c>
      <c r="G141" s="23">
        <v>19.67143</v>
      </c>
      <c r="H141" s="23">
        <v>0</v>
      </c>
      <c r="I141" s="23">
        <v>0</v>
      </c>
      <c r="J141" s="91"/>
      <c r="K141" s="115"/>
    </row>
    <row r="142" spans="1:11" s="40" customFormat="1" ht="15" customHeight="1">
      <c r="A142" s="76">
        <f>A141+1</f>
        <v>94</v>
      </c>
      <c r="B142" s="58" t="s">
        <v>5</v>
      </c>
      <c r="C142" s="23">
        <f>SUM(D142:I142)</f>
        <v>123.5</v>
      </c>
      <c r="D142" s="23"/>
      <c r="E142" s="23">
        <f>28.5</f>
        <v>28.5</v>
      </c>
      <c r="F142" s="23">
        <v>49.1</v>
      </c>
      <c r="G142" s="23">
        <v>45.9</v>
      </c>
      <c r="H142" s="23">
        <v>0</v>
      </c>
      <c r="I142" s="23">
        <v>0</v>
      </c>
      <c r="J142" s="91"/>
      <c r="K142" s="115"/>
    </row>
    <row r="143" spans="1:11" s="40" customFormat="1" ht="15" customHeight="1">
      <c r="A143" s="76"/>
      <c r="B143" s="58"/>
      <c r="C143" s="23"/>
      <c r="D143" s="23"/>
      <c r="E143" s="23"/>
      <c r="F143" s="23"/>
      <c r="G143" s="23"/>
      <c r="H143" s="23"/>
      <c r="I143" s="43"/>
      <c r="J143" s="91"/>
      <c r="K143" s="115"/>
    </row>
    <row r="144" spans="1:11" s="40" customFormat="1" ht="96.75" customHeight="1">
      <c r="A144" s="76">
        <f>A142+1</f>
        <v>95</v>
      </c>
      <c r="B144" s="104" t="s">
        <v>77</v>
      </c>
      <c r="C144" s="33">
        <f>SUM(D144:I144)</f>
        <v>9590</v>
      </c>
      <c r="D144" s="33">
        <f aca="true" t="shared" si="39" ref="D144:I144">SUM(D145:D145)</f>
        <v>0</v>
      </c>
      <c r="E144" s="33">
        <f t="shared" si="39"/>
        <v>9590</v>
      </c>
      <c r="F144" s="33">
        <f t="shared" si="39"/>
        <v>0</v>
      </c>
      <c r="G144" s="33">
        <f t="shared" si="39"/>
        <v>0</v>
      </c>
      <c r="H144" s="33">
        <f t="shared" si="39"/>
        <v>0</v>
      </c>
      <c r="I144" s="65">
        <f t="shared" si="39"/>
        <v>0</v>
      </c>
      <c r="J144" s="91" t="s">
        <v>78</v>
      </c>
      <c r="K144" s="115"/>
    </row>
    <row r="145" spans="1:11" s="40" customFormat="1" ht="15" customHeight="1">
      <c r="A145" s="76">
        <f>A144+1</f>
        <v>96</v>
      </c>
      <c r="B145" s="58" t="s">
        <v>5</v>
      </c>
      <c r="C145" s="23">
        <f>SUM(D145:I145)</f>
        <v>9590</v>
      </c>
      <c r="D145" s="23"/>
      <c r="E145" s="23">
        <f>2801.5+7049.1-629+368.4</f>
        <v>9590</v>
      </c>
      <c r="F145" s="23">
        <v>0</v>
      </c>
      <c r="G145" s="23">
        <v>0</v>
      </c>
      <c r="H145" s="23">
        <v>0</v>
      </c>
      <c r="I145" s="23">
        <v>0</v>
      </c>
      <c r="J145" s="91"/>
      <c r="K145" s="115"/>
    </row>
    <row r="146" spans="1:11" s="40" customFormat="1" ht="15" customHeight="1">
      <c r="A146" s="76"/>
      <c r="B146" s="58"/>
      <c r="C146" s="23"/>
      <c r="D146" s="23"/>
      <c r="E146" s="23"/>
      <c r="F146" s="23"/>
      <c r="G146" s="23"/>
      <c r="H146" s="23"/>
      <c r="I146" s="43"/>
      <c r="J146" s="91"/>
      <c r="K146" s="115"/>
    </row>
    <row r="147" spans="1:11" s="40" customFormat="1" ht="67.5" customHeight="1">
      <c r="A147" s="76">
        <f>A145+1</f>
        <v>97</v>
      </c>
      <c r="B147" s="104" t="s">
        <v>79</v>
      </c>
      <c r="C147" s="33">
        <f>SUM(D147:I147)</f>
        <v>88869.5</v>
      </c>
      <c r="D147" s="33">
        <f aca="true" t="shared" si="40" ref="D147:I147">SUM(D148:D148)</f>
        <v>0</v>
      </c>
      <c r="E147" s="33">
        <f t="shared" si="40"/>
        <v>6812.1</v>
      </c>
      <c r="F147" s="33">
        <f t="shared" si="40"/>
        <v>20467.4</v>
      </c>
      <c r="G147" s="33">
        <f t="shared" si="40"/>
        <v>20530</v>
      </c>
      <c r="H147" s="33">
        <f t="shared" si="40"/>
        <v>20530</v>
      </c>
      <c r="I147" s="65">
        <f t="shared" si="40"/>
        <v>20530</v>
      </c>
      <c r="J147" s="91" t="s">
        <v>82</v>
      </c>
      <c r="K147" s="115"/>
    </row>
    <row r="148" spans="1:11" s="40" customFormat="1" ht="15" customHeight="1">
      <c r="A148" s="76">
        <f>A147+1</f>
        <v>98</v>
      </c>
      <c r="B148" s="58" t="s">
        <v>5</v>
      </c>
      <c r="C148" s="23">
        <f>SUM(D148:I148)</f>
        <v>88869.5</v>
      </c>
      <c r="D148" s="23"/>
      <c r="E148" s="23">
        <f>6874.6-62.5</f>
        <v>6812.1</v>
      </c>
      <c r="F148" s="23">
        <f>20436.2+31.2</f>
        <v>20467.4</v>
      </c>
      <c r="G148" s="23">
        <v>20530</v>
      </c>
      <c r="H148" s="23">
        <v>20530</v>
      </c>
      <c r="I148" s="23">
        <v>20530</v>
      </c>
      <c r="J148" s="91"/>
      <c r="K148" s="115"/>
    </row>
    <row r="149" spans="1:11" s="40" customFormat="1" ht="15" customHeight="1">
      <c r="A149" s="76"/>
      <c r="B149" s="58"/>
      <c r="C149" s="23"/>
      <c r="D149" s="23"/>
      <c r="E149" s="23"/>
      <c r="F149" s="23"/>
      <c r="G149" s="23"/>
      <c r="H149" s="23"/>
      <c r="I149" s="43"/>
      <c r="J149" s="91"/>
      <c r="K149" s="115"/>
    </row>
    <row r="150" spans="1:11" s="40" customFormat="1" ht="79.5" customHeight="1">
      <c r="A150" s="76">
        <f>A148+1</f>
        <v>99</v>
      </c>
      <c r="B150" s="104" t="s">
        <v>80</v>
      </c>
      <c r="C150" s="33">
        <f>SUM(D150:I150)</f>
        <v>97162.63288</v>
      </c>
      <c r="D150" s="33">
        <f aca="true" t="shared" si="41" ref="D150:I150">SUM(D151:D151)</f>
        <v>0</v>
      </c>
      <c r="E150" s="33">
        <f t="shared" si="41"/>
        <v>8790.032</v>
      </c>
      <c r="F150" s="33">
        <f t="shared" si="41"/>
        <v>17963.20088</v>
      </c>
      <c r="G150" s="33">
        <f t="shared" si="41"/>
        <v>24038.7</v>
      </c>
      <c r="H150" s="33">
        <f t="shared" si="41"/>
        <v>22857.5</v>
      </c>
      <c r="I150" s="65">
        <f t="shared" si="41"/>
        <v>23513.2</v>
      </c>
      <c r="J150" s="120" t="s">
        <v>83</v>
      </c>
      <c r="K150" s="115"/>
    </row>
    <row r="151" spans="1:11" s="40" customFormat="1" ht="15" customHeight="1">
      <c r="A151" s="76">
        <f>A150+1</f>
        <v>100</v>
      </c>
      <c r="B151" s="58" t="s">
        <v>5</v>
      </c>
      <c r="C151" s="23">
        <f>SUM(D151:I151)</f>
        <v>97162.63288</v>
      </c>
      <c r="D151" s="23"/>
      <c r="E151" s="23">
        <v>8790.032</v>
      </c>
      <c r="F151" s="23">
        <f>22102.5-4139.29912</f>
        <v>17963.20088</v>
      </c>
      <c r="G151" s="23">
        <v>24038.7</v>
      </c>
      <c r="H151" s="23">
        <v>22857.5</v>
      </c>
      <c r="I151" s="23">
        <v>23513.2</v>
      </c>
      <c r="J151" s="91"/>
      <c r="K151" s="115"/>
    </row>
    <row r="152" spans="1:11" s="40" customFormat="1" ht="15" customHeight="1">
      <c r="A152" s="76"/>
      <c r="B152" s="58"/>
      <c r="C152" s="23"/>
      <c r="D152" s="23"/>
      <c r="E152" s="23"/>
      <c r="F152" s="23"/>
      <c r="G152" s="23"/>
      <c r="H152" s="23"/>
      <c r="I152" s="43"/>
      <c r="J152" s="91"/>
      <c r="K152" s="115"/>
    </row>
    <row r="153" spans="1:11" s="40" customFormat="1" ht="79.5" customHeight="1">
      <c r="A153" s="76">
        <f>A151+1</f>
        <v>101</v>
      </c>
      <c r="B153" s="104" t="s">
        <v>88</v>
      </c>
      <c r="C153" s="33">
        <f>SUM(D153:I153)</f>
        <v>12904.889</v>
      </c>
      <c r="D153" s="33">
        <f aca="true" t="shared" si="42" ref="D153:I153">SUM(D154:D155)</f>
        <v>0</v>
      </c>
      <c r="E153" s="33">
        <f t="shared" si="42"/>
        <v>0</v>
      </c>
      <c r="F153" s="33">
        <f t="shared" si="42"/>
        <v>4904.689</v>
      </c>
      <c r="G153" s="33">
        <f t="shared" si="42"/>
        <v>4000.2</v>
      </c>
      <c r="H153" s="33">
        <f t="shared" si="42"/>
        <v>2000</v>
      </c>
      <c r="I153" s="33">
        <f t="shared" si="42"/>
        <v>2000</v>
      </c>
      <c r="J153" s="120" t="s">
        <v>89</v>
      </c>
      <c r="K153" s="115"/>
    </row>
    <row r="154" spans="1:11" s="40" customFormat="1" ht="15" customHeight="1">
      <c r="A154" s="76">
        <f>A153+1</f>
        <v>102</v>
      </c>
      <c r="B154" s="58" t="s">
        <v>3</v>
      </c>
      <c r="C154" s="23">
        <f>SUM(D154:I154)</f>
        <v>8452.4445</v>
      </c>
      <c r="D154" s="23"/>
      <c r="E154" s="23"/>
      <c r="F154" s="23">
        <v>2452.3445</v>
      </c>
      <c r="G154" s="23">
        <v>2000.1</v>
      </c>
      <c r="H154" s="23">
        <v>2000</v>
      </c>
      <c r="I154" s="23">
        <v>2000</v>
      </c>
      <c r="J154" s="91"/>
      <c r="K154" s="115"/>
    </row>
    <row r="155" spans="1:11" s="40" customFormat="1" ht="15" customHeight="1">
      <c r="A155" s="76">
        <f>A154+1</f>
        <v>103</v>
      </c>
      <c r="B155" s="58" t="s">
        <v>5</v>
      </c>
      <c r="C155" s="23">
        <f>SUM(D155:I155)</f>
        <v>4452.4445</v>
      </c>
      <c r="D155" s="23"/>
      <c r="E155" s="23"/>
      <c r="F155" s="23">
        <v>2452.3445</v>
      </c>
      <c r="G155" s="23">
        <v>2000.1</v>
      </c>
      <c r="H155" s="23">
        <v>0</v>
      </c>
      <c r="I155" s="43">
        <v>0</v>
      </c>
      <c r="J155" s="91"/>
      <c r="K155" s="115"/>
    </row>
    <row r="156" spans="1:11" s="40" customFormat="1" ht="15" customHeight="1">
      <c r="A156" s="76"/>
      <c r="B156" s="58"/>
      <c r="C156" s="23"/>
      <c r="D156" s="23"/>
      <c r="E156" s="23"/>
      <c r="F156" s="23"/>
      <c r="G156" s="23"/>
      <c r="H156" s="23"/>
      <c r="I156" s="43"/>
      <c r="J156" s="91"/>
      <c r="K156" s="115"/>
    </row>
    <row r="157" spans="1:11" s="30" customFormat="1" ht="15" customHeight="1">
      <c r="A157" s="78"/>
      <c r="B157" s="52"/>
      <c r="C157" s="134" t="s">
        <v>38</v>
      </c>
      <c r="D157" s="135"/>
      <c r="E157" s="135"/>
      <c r="F157" s="135"/>
      <c r="G157" s="135"/>
      <c r="H157" s="135"/>
      <c r="I157" s="135"/>
      <c r="J157" s="86"/>
      <c r="K157" s="111"/>
    </row>
    <row r="158" spans="1:11" s="34" customFormat="1" ht="15" customHeight="1">
      <c r="A158" s="75">
        <f>A155+1</f>
        <v>104</v>
      </c>
      <c r="B158" s="53" t="s">
        <v>39</v>
      </c>
      <c r="C158" s="32">
        <f aca="true" t="shared" si="43" ref="C158:I159">SUM(C162)</f>
        <v>13303.512999999999</v>
      </c>
      <c r="D158" s="22">
        <f t="shared" si="43"/>
        <v>1690.763</v>
      </c>
      <c r="E158" s="33">
        <f t="shared" si="43"/>
        <v>2284</v>
      </c>
      <c r="F158" s="33">
        <f t="shared" si="43"/>
        <v>1951.75</v>
      </c>
      <c r="G158" s="33">
        <f t="shared" si="43"/>
        <v>2459</v>
      </c>
      <c r="H158" s="33">
        <f t="shared" si="43"/>
        <v>2459</v>
      </c>
      <c r="I158" s="65">
        <f t="shared" si="43"/>
        <v>2459</v>
      </c>
      <c r="J158" s="87"/>
      <c r="K158" s="112"/>
    </row>
    <row r="159" spans="1:11" s="35" customFormat="1" ht="15" customHeight="1">
      <c r="A159" s="75">
        <f>A158+1</f>
        <v>105</v>
      </c>
      <c r="B159" s="6" t="s">
        <v>3</v>
      </c>
      <c r="C159" s="32">
        <f t="shared" si="43"/>
        <v>13303.512999999999</v>
      </c>
      <c r="D159" s="29">
        <f t="shared" si="43"/>
        <v>1690.763</v>
      </c>
      <c r="E159" s="23">
        <f t="shared" si="43"/>
        <v>2284</v>
      </c>
      <c r="F159" s="23">
        <f t="shared" si="43"/>
        <v>1951.75</v>
      </c>
      <c r="G159" s="23">
        <f t="shared" si="43"/>
        <v>2459</v>
      </c>
      <c r="H159" s="23">
        <f t="shared" si="43"/>
        <v>2459</v>
      </c>
      <c r="I159" s="43">
        <f t="shared" si="43"/>
        <v>2459</v>
      </c>
      <c r="J159" s="88"/>
      <c r="K159" s="113"/>
    </row>
    <row r="160" spans="1:11" s="35" customFormat="1" ht="15" customHeight="1">
      <c r="A160" s="75"/>
      <c r="B160" s="54"/>
      <c r="C160" s="32"/>
      <c r="D160" s="29"/>
      <c r="E160" s="23"/>
      <c r="F160" s="23"/>
      <c r="G160" s="23"/>
      <c r="H160" s="23"/>
      <c r="I160" s="43"/>
      <c r="J160" s="88"/>
      <c r="K160" s="113"/>
    </row>
    <row r="161" spans="1:11" s="35" customFormat="1" ht="15" customHeight="1">
      <c r="A161" s="79"/>
      <c r="B161" s="55"/>
      <c r="C161" s="125" t="s">
        <v>12</v>
      </c>
      <c r="D161" s="126"/>
      <c r="E161" s="126"/>
      <c r="F161" s="126"/>
      <c r="G161" s="126"/>
      <c r="H161" s="126"/>
      <c r="I161" s="126"/>
      <c r="J161" s="89"/>
      <c r="K161" s="113"/>
    </row>
    <row r="162" spans="1:11" s="34" customFormat="1" ht="15" customHeight="1">
      <c r="A162" s="75">
        <f>A159+1</f>
        <v>106</v>
      </c>
      <c r="B162" s="53" t="s">
        <v>14</v>
      </c>
      <c r="C162" s="32">
        <f aca="true" t="shared" si="44" ref="C162:I162">SUM(C163:C163)</f>
        <v>13303.512999999999</v>
      </c>
      <c r="D162" s="32">
        <f t="shared" si="44"/>
        <v>1690.763</v>
      </c>
      <c r="E162" s="36">
        <f t="shared" si="44"/>
        <v>2284</v>
      </c>
      <c r="F162" s="36">
        <f t="shared" si="44"/>
        <v>1951.75</v>
      </c>
      <c r="G162" s="36">
        <f t="shared" si="44"/>
        <v>2459</v>
      </c>
      <c r="H162" s="36">
        <f t="shared" si="44"/>
        <v>2459</v>
      </c>
      <c r="I162" s="64">
        <f t="shared" si="44"/>
        <v>2459</v>
      </c>
      <c r="J162" s="87"/>
      <c r="K162" s="112"/>
    </row>
    <row r="163" spans="1:11" s="35" customFormat="1" ht="15" customHeight="1">
      <c r="A163" s="75">
        <f>A162+1</f>
        <v>107</v>
      </c>
      <c r="B163" s="6" t="s">
        <v>3</v>
      </c>
      <c r="C163" s="32">
        <f>SUM(D163:I163)</f>
        <v>13303.512999999999</v>
      </c>
      <c r="D163" s="23">
        <f aca="true" t="shared" si="45" ref="D163:I163">SUM(D166)</f>
        <v>1690.763</v>
      </c>
      <c r="E163" s="23">
        <f t="shared" si="45"/>
        <v>2284</v>
      </c>
      <c r="F163" s="23">
        <f t="shared" si="45"/>
        <v>1951.75</v>
      </c>
      <c r="G163" s="23">
        <f t="shared" si="45"/>
        <v>2459</v>
      </c>
      <c r="H163" s="23">
        <f t="shared" si="45"/>
        <v>2459</v>
      </c>
      <c r="I163" s="23">
        <f t="shared" si="45"/>
        <v>2459</v>
      </c>
      <c r="J163" s="88"/>
      <c r="K163" s="113"/>
    </row>
    <row r="164" spans="1:11" s="35" customFormat="1" ht="15" customHeight="1">
      <c r="A164" s="75"/>
      <c r="B164" s="56"/>
      <c r="C164" s="32"/>
      <c r="D164" s="37"/>
      <c r="E164" s="37"/>
      <c r="F164" s="37"/>
      <c r="G164" s="37"/>
      <c r="H164" s="37"/>
      <c r="I164" s="42"/>
      <c r="J164" s="88"/>
      <c r="K164" s="113"/>
    </row>
    <row r="165" spans="1:11" s="40" customFormat="1" ht="78" customHeight="1">
      <c r="A165" s="75">
        <f>A163+1</f>
        <v>108</v>
      </c>
      <c r="B165" s="60" t="s">
        <v>23</v>
      </c>
      <c r="C165" s="32">
        <f>SUM(D165:I165)</f>
        <v>13303.512999999999</v>
      </c>
      <c r="D165" s="33">
        <f aca="true" t="shared" si="46" ref="D165:I165">SUM(D166)</f>
        <v>1690.763</v>
      </c>
      <c r="E165" s="33">
        <f t="shared" si="46"/>
        <v>2284</v>
      </c>
      <c r="F165" s="33">
        <f t="shared" si="46"/>
        <v>1951.75</v>
      </c>
      <c r="G165" s="33">
        <f t="shared" si="46"/>
        <v>2459</v>
      </c>
      <c r="H165" s="33">
        <f t="shared" si="46"/>
        <v>2459</v>
      </c>
      <c r="I165" s="65">
        <f t="shared" si="46"/>
        <v>2459</v>
      </c>
      <c r="J165" s="91" t="s">
        <v>76</v>
      </c>
      <c r="K165" s="115"/>
    </row>
    <row r="166" spans="1:11" s="40" customFormat="1" ht="15" customHeight="1">
      <c r="A166" s="75">
        <f>A165+1</f>
        <v>109</v>
      </c>
      <c r="B166" s="58" t="s">
        <v>3</v>
      </c>
      <c r="C166" s="38">
        <f>SUM(D166:I166)</f>
        <v>13303.512999999999</v>
      </c>
      <c r="D166" s="23">
        <f>4000-2309.237</f>
        <v>1690.763</v>
      </c>
      <c r="E166" s="23">
        <v>2284</v>
      </c>
      <c r="F166" s="23">
        <f>2941-989.25</f>
        <v>1951.75</v>
      </c>
      <c r="G166" s="23">
        <v>2459</v>
      </c>
      <c r="H166" s="23">
        <v>2459</v>
      </c>
      <c r="I166" s="23">
        <v>2459</v>
      </c>
      <c r="J166" s="91"/>
      <c r="K166" s="115"/>
    </row>
    <row r="167" spans="1:11" s="35" customFormat="1" ht="15" customHeight="1">
      <c r="A167" s="75"/>
      <c r="B167" s="54"/>
      <c r="C167" s="22"/>
      <c r="D167" s="23"/>
      <c r="E167" s="23"/>
      <c r="F167" s="23"/>
      <c r="G167" s="23"/>
      <c r="H167" s="23"/>
      <c r="I167" s="23"/>
      <c r="J167" s="88"/>
      <c r="K167" s="113"/>
    </row>
    <row r="168" spans="1:11" s="30" customFormat="1" ht="48.75" customHeight="1">
      <c r="A168" s="78"/>
      <c r="B168" s="52"/>
      <c r="C168" s="134" t="s">
        <v>42</v>
      </c>
      <c r="D168" s="135"/>
      <c r="E168" s="135"/>
      <c r="F168" s="135"/>
      <c r="G168" s="135"/>
      <c r="H168" s="135"/>
      <c r="I168" s="135"/>
      <c r="J168" s="86"/>
      <c r="K168" s="111"/>
    </row>
    <row r="169" spans="1:11" s="34" customFormat="1" ht="15" customHeight="1">
      <c r="A169" s="75">
        <f>A166+1</f>
        <v>110</v>
      </c>
      <c r="B169" s="53" t="s">
        <v>20</v>
      </c>
      <c r="C169" s="32">
        <f aca="true" t="shared" si="47" ref="C169:I171">SUM(C174)</f>
        <v>280279.22754</v>
      </c>
      <c r="D169" s="22">
        <f t="shared" si="47"/>
        <v>41067.372</v>
      </c>
      <c r="E169" s="33">
        <f t="shared" si="47"/>
        <v>43662.6</v>
      </c>
      <c r="F169" s="33">
        <f t="shared" si="47"/>
        <v>45338.41</v>
      </c>
      <c r="G169" s="33">
        <f t="shared" si="47"/>
        <v>48570.845539999995</v>
      </c>
      <c r="H169" s="33">
        <f t="shared" si="47"/>
        <v>49327.5</v>
      </c>
      <c r="I169" s="65">
        <f t="shared" si="47"/>
        <v>52312.5</v>
      </c>
      <c r="J169" s="87"/>
      <c r="K169" s="112"/>
    </row>
    <row r="170" spans="1:11" s="35" customFormat="1" ht="15" customHeight="1">
      <c r="A170" s="75">
        <f>A169+1</f>
        <v>111</v>
      </c>
      <c r="B170" s="6" t="s">
        <v>3</v>
      </c>
      <c r="C170" s="32">
        <f t="shared" si="47"/>
        <v>280279.22754</v>
      </c>
      <c r="D170" s="29">
        <f t="shared" si="47"/>
        <v>41067.372</v>
      </c>
      <c r="E170" s="23">
        <f t="shared" si="47"/>
        <v>43662.6</v>
      </c>
      <c r="F170" s="23">
        <f t="shared" si="47"/>
        <v>45338.41</v>
      </c>
      <c r="G170" s="23">
        <f t="shared" si="47"/>
        <v>48570.845539999995</v>
      </c>
      <c r="H170" s="23">
        <f t="shared" si="47"/>
        <v>49327.5</v>
      </c>
      <c r="I170" s="43">
        <f t="shared" si="47"/>
        <v>52312.5</v>
      </c>
      <c r="J170" s="88"/>
      <c r="K170" s="113"/>
    </row>
    <row r="171" spans="1:11" s="35" customFormat="1" ht="15" customHeight="1">
      <c r="A171" s="75">
        <f>A170+1</f>
        <v>112</v>
      </c>
      <c r="B171" s="58" t="s">
        <v>5</v>
      </c>
      <c r="C171" s="32">
        <f t="shared" si="47"/>
        <v>0</v>
      </c>
      <c r="D171" s="29">
        <f t="shared" si="47"/>
        <v>0</v>
      </c>
      <c r="E171" s="23">
        <f t="shared" si="47"/>
        <v>0</v>
      </c>
      <c r="F171" s="23">
        <f t="shared" si="47"/>
        <v>0</v>
      </c>
      <c r="G171" s="23">
        <f t="shared" si="47"/>
        <v>0</v>
      </c>
      <c r="H171" s="23">
        <f t="shared" si="47"/>
        <v>0</v>
      </c>
      <c r="I171" s="43">
        <f t="shared" si="47"/>
        <v>0</v>
      </c>
      <c r="J171" s="88"/>
      <c r="K171" s="113"/>
    </row>
    <row r="172" spans="1:11" s="35" customFormat="1" ht="15" customHeight="1">
      <c r="A172" s="75"/>
      <c r="B172" s="54"/>
      <c r="C172" s="32"/>
      <c r="D172" s="29"/>
      <c r="E172" s="23"/>
      <c r="F172" s="23"/>
      <c r="G172" s="23"/>
      <c r="H172" s="23"/>
      <c r="I172" s="43"/>
      <c r="J172" s="88"/>
      <c r="K172" s="113"/>
    </row>
    <row r="173" spans="1:11" s="35" customFormat="1" ht="15" customHeight="1">
      <c r="A173" s="79"/>
      <c r="B173" s="55"/>
      <c r="C173" s="125" t="s">
        <v>12</v>
      </c>
      <c r="D173" s="126"/>
      <c r="E173" s="126"/>
      <c r="F173" s="126"/>
      <c r="G173" s="126"/>
      <c r="H173" s="126"/>
      <c r="I173" s="126"/>
      <c r="J173" s="89"/>
      <c r="K173" s="113"/>
    </row>
    <row r="174" spans="1:11" s="34" customFormat="1" ht="15" customHeight="1">
      <c r="A174" s="75">
        <f>A171+1</f>
        <v>113</v>
      </c>
      <c r="B174" s="53" t="s">
        <v>14</v>
      </c>
      <c r="C174" s="32">
        <f>SUM(C175:C176)</f>
        <v>280279.22754</v>
      </c>
      <c r="D174" s="32">
        <f aca="true" t="shared" si="48" ref="D174:I174">SUM(D175:D176)</f>
        <v>41067.372</v>
      </c>
      <c r="E174" s="36">
        <f t="shared" si="48"/>
        <v>43662.6</v>
      </c>
      <c r="F174" s="36">
        <f t="shared" si="48"/>
        <v>45338.41</v>
      </c>
      <c r="G174" s="36">
        <f t="shared" si="48"/>
        <v>48570.845539999995</v>
      </c>
      <c r="H174" s="36">
        <f t="shared" si="48"/>
        <v>49327.5</v>
      </c>
      <c r="I174" s="64">
        <f t="shared" si="48"/>
        <v>52312.5</v>
      </c>
      <c r="J174" s="87"/>
      <c r="K174" s="112"/>
    </row>
    <row r="175" spans="1:11" s="35" customFormat="1" ht="15" customHeight="1">
      <c r="A175" s="75">
        <f>A174+1</f>
        <v>114</v>
      </c>
      <c r="B175" s="6" t="s">
        <v>3</v>
      </c>
      <c r="C175" s="32">
        <f>SUM(D175:I175)</f>
        <v>280279.22754</v>
      </c>
      <c r="D175" s="23">
        <f aca="true" t="shared" si="49" ref="D175:I175">SUM(D179+D182+D185)</f>
        <v>41067.372</v>
      </c>
      <c r="E175" s="23">
        <f t="shared" si="49"/>
        <v>43662.6</v>
      </c>
      <c r="F175" s="23">
        <f t="shared" si="49"/>
        <v>45338.41</v>
      </c>
      <c r="G175" s="23">
        <f t="shared" si="49"/>
        <v>48570.845539999995</v>
      </c>
      <c r="H175" s="23">
        <f t="shared" si="49"/>
        <v>49327.5</v>
      </c>
      <c r="I175" s="23">
        <f t="shared" si="49"/>
        <v>52312.5</v>
      </c>
      <c r="J175" s="88"/>
      <c r="K175" s="113"/>
    </row>
    <row r="176" spans="1:11" s="35" customFormat="1" ht="15" customHeight="1">
      <c r="A176" s="75">
        <f>A175+1</f>
        <v>115</v>
      </c>
      <c r="B176" s="58" t="s">
        <v>5</v>
      </c>
      <c r="C176" s="32">
        <f>SUM(D176:I176)</f>
        <v>0</v>
      </c>
      <c r="D176" s="37"/>
      <c r="E176" s="37"/>
      <c r="F176" s="37"/>
      <c r="G176" s="37"/>
      <c r="H176" s="37"/>
      <c r="I176" s="37"/>
      <c r="J176" s="88"/>
      <c r="K176" s="113"/>
    </row>
    <row r="177" spans="1:11" s="35" customFormat="1" ht="15" customHeight="1">
      <c r="A177" s="75"/>
      <c r="B177" s="56"/>
      <c r="C177" s="32"/>
      <c r="D177" s="37"/>
      <c r="E177" s="37"/>
      <c r="F177" s="37"/>
      <c r="G177" s="37"/>
      <c r="H177" s="37"/>
      <c r="I177" s="42"/>
      <c r="J177" s="88"/>
      <c r="K177" s="113"/>
    </row>
    <row r="178" spans="1:11" s="40" customFormat="1" ht="63">
      <c r="A178" s="75">
        <f>A176+1</f>
        <v>116</v>
      </c>
      <c r="B178" s="60" t="s">
        <v>40</v>
      </c>
      <c r="C178" s="36">
        <f>SUM(D178:I178)</f>
        <v>29861.66594</v>
      </c>
      <c r="D178" s="33">
        <f aca="true" t="shared" si="50" ref="D178:I178">SUM(D179)</f>
        <v>4507.372</v>
      </c>
      <c r="E178" s="33">
        <f t="shared" si="50"/>
        <v>4952.6</v>
      </c>
      <c r="F178" s="33">
        <f t="shared" si="50"/>
        <v>5100.3</v>
      </c>
      <c r="G178" s="33">
        <f t="shared" si="50"/>
        <v>5117.79394</v>
      </c>
      <c r="H178" s="33">
        <f t="shared" si="50"/>
        <v>5105.3</v>
      </c>
      <c r="I178" s="65">
        <f t="shared" si="50"/>
        <v>5078.3</v>
      </c>
      <c r="J178" s="91" t="s">
        <v>53</v>
      </c>
      <c r="K178" s="115"/>
    </row>
    <row r="179" spans="1:11" s="35" customFormat="1" ht="15" customHeight="1">
      <c r="A179" s="75">
        <f>A178+1</f>
        <v>117</v>
      </c>
      <c r="B179" s="58" t="s">
        <v>3</v>
      </c>
      <c r="C179" s="37">
        <f>SUM(D179:I179)</f>
        <v>29861.66594</v>
      </c>
      <c r="D179" s="37">
        <f>4210.1+70+227.272</f>
        <v>4507.372</v>
      </c>
      <c r="E179" s="37">
        <f>5052.6-100</f>
        <v>4952.6</v>
      </c>
      <c r="F179" s="23">
        <f>5100.3</f>
        <v>5100.3</v>
      </c>
      <c r="G179" s="23">
        <v>5117.79394</v>
      </c>
      <c r="H179" s="23">
        <v>5105.3</v>
      </c>
      <c r="I179" s="23">
        <v>5078.3</v>
      </c>
      <c r="J179" s="88"/>
      <c r="K179" s="113"/>
    </row>
    <row r="180" spans="1:11" s="35" customFormat="1" ht="15" customHeight="1">
      <c r="A180" s="75"/>
      <c r="B180" s="56"/>
      <c r="C180" s="32"/>
      <c r="D180" s="37"/>
      <c r="E180" s="37"/>
      <c r="F180" s="37"/>
      <c r="G180" s="37"/>
      <c r="H180" s="37"/>
      <c r="I180" s="42"/>
      <c r="J180" s="88"/>
      <c r="K180" s="113"/>
    </row>
    <row r="181" spans="1:11" s="35" customFormat="1" ht="84.75" customHeight="1">
      <c r="A181" s="75">
        <f>A179+1</f>
        <v>118</v>
      </c>
      <c r="B181" s="53" t="s">
        <v>72</v>
      </c>
      <c r="C181" s="36">
        <f>SUM(D181:I181)</f>
        <v>248501.3476</v>
      </c>
      <c r="D181" s="33">
        <f aca="true" t="shared" si="51" ref="D181:I181">SUM(D182)</f>
        <v>36230</v>
      </c>
      <c r="E181" s="33">
        <f t="shared" si="51"/>
        <v>38380</v>
      </c>
      <c r="F181" s="33">
        <f t="shared" si="51"/>
        <v>39987.496</v>
      </c>
      <c r="G181" s="33">
        <f t="shared" si="51"/>
        <v>43117.8516</v>
      </c>
      <c r="H181" s="33">
        <f t="shared" si="51"/>
        <v>43887</v>
      </c>
      <c r="I181" s="65">
        <f t="shared" si="51"/>
        <v>46899</v>
      </c>
      <c r="J181" s="91" t="s">
        <v>53</v>
      </c>
      <c r="K181" s="113"/>
    </row>
    <row r="182" spans="1:11" s="35" customFormat="1" ht="15" customHeight="1">
      <c r="A182" s="75">
        <f>A181+1</f>
        <v>119</v>
      </c>
      <c r="B182" s="54" t="s">
        <v>3</v>
      </c>
      <c r="C182" s="37">
        <f>SUM(D182:I182)</f>
        <v>248501.3476</v>
      </c>
      <c r="D182" s="37">
        <f>36300-70</f>
        <v>36230</v>
      </c>
      <c r="E182" s="37">
        <v>38380</v>
      </c>
      <c r="F182" s="23">
        <f>41070.5-1083.004</f>
        <v>39987.496</v>
      </c>
      <c r="G182" s="23">
        <f>43704-586.1484</f>
        <v>43117.8516</v>
      </c>
      <c r="H182" s="23">
        <v>43887</v>
      </c>
      <c r="I182" s="23">
        <v>46899</v>
      </c>
      <c r="J182" s="88"/>
      <c r="K182" s="113"/>
    </row>
    <row r="183" spans="1:11" s="35" customFormat="1" ht="15" customHeight="1">
      <c r="A183" s="75"/>
      <c r="B183" s="56"/>
      <c r="C183" s="32"/>
      <c r="D183" s="37"/>
      <c r="E183" s="37"/>
      <c r="F183" s="37"/>
      <c r="G183" s="37"/>
      <c r="H183" s="37"/>
      <c r="I183" s="42"/>
      <c r="J183" s="88"/>
      <c r="K183" s="113"/>
    </row>
    <row r="184" spans="1:11" s="40" customFormat="1" ht="31.5">
      <c r="A184" s="75">
        <f>A182+1</f>
        <v>120</v>
      </c>
      <c r="B184" s="60" t="s">
        <v>41</v>
      </c>
      <c r="C184" s="36">
        <f>SUM(D184:I184)</f>
        <v>1916.2140000000002</v>
      </c>
      <c r="D184" s="33">
        <f aca="true" t="shared" si="52" ref="D184:I184">SUM(D185)</f>
        <v>330</v>
      </c>
      <c r="E184" s="33">
        <f t="shared" si="52"/>
        <v>330</v>
      </c>
      <c r="F184" s="33">
        <f t="shared" si="52"/>
        <v>250.614</v>
      </c>
      <c r="G184" s="33">
        <f t="shared" si="52"/>
        <v>335.2</v>
      </c>
      <c r="H184" s="33">
        <f t="shared" si="52"/>
        <v>335.2</v>
      </c>
      <c r="I184" s="65">
        <f t="shared" si="52"/>
        <v>335.2</v>
      </c>
      <c r="J184" s="91" t="s">
        <v>53</v>
      </c>
      <c r="K184" s="115"/>
    </row>
    <row r="185" spans="1:11" s="40" customFormat="1" ht="15" customHeight="1">
      <c r="A185" s="75">
        <f>A184+1</f>
        <v>121</v>
      </c>
      <c r="B185" s="58" t="s">
        <v>3</v>
      </c>
      <c r="C185" s="37">
        <f>SUM(D185:I185)</f>
        <v>1916.2140000000002</v>
      </c>
      <c r="D185" s="23">
        <f>330+130-130</f>
        <v>330</v>
      </c>
      <c r="E185" s="37">
        <v>330</v>
      </c>
      <c r="F185" s="37">
        <f>330-79.386</f>
        <v>250.614</v>
      </c>
      <c r="G185" s="37">
        <v>335.2</v>
      </c>
      <c r="H185" s="37">
        <v>335.2</v>
      </c>
      <c r="I185" s="42">
        <v>335.2</v>
      </c>
      <c r="J185" s="91"/>
      <c r="K185" s="115"/>
    </row>
  </sheetData>
  <sheetProtection/>
  <mergeCells count="21">
    <mergeCell ref="F1:J1"/>
    <mergeCell ref="F2:J2"/>
    <mergeCell ref="F6:J6"/>
    <mergeCell ref="H7:I7"/>
    <mergeCell ref="H8:I8"/>
    <mergeCell ref="F3:J3"/>
    <mergeCell ref="F4:J4"/>
    <mergeCell ref="A10:J10"/>
    <mergeCell ref="C26:I26"/>
    <mergeCell ref="F5:J5"/>
    <mergeCell ref="C161:I161"/>
    <mergeCell ref="C157:I157"/>
    <mergeCell ref="J13:J14"/>
    <mergeCell ref="A9:J9"/>
    <mergeCell ref="C173:I173"/>
    <mergeCell ref="A11:J11"/>
    <mergeCell ref="A13:A14"/>
    <mergeCell ref="B13:B14"/>
    <mergeCell ref="C13:I13"/>
    <mergeCell ref="C168:I168"/>
    <mergeCell ref="C32:I32"/>
  </mergeCells>
  <printOptions/>
  <pageMargins left="0.3937007874015748" right="0" top="0.3937007874015748" bottom="0.15748031496062992" header="0" footer="0"/>
  <pageSetup firstPageNumber="3" useFirstPageNumber="1" horizontalDpi="600" verticalDpi="600" orientation="landscape" paperSize="9" scale="73" r:id="rId1"/>
  <headerFooter alignWithMargins="0">
    <oddHeader>&amp;C&amp;P</oddHeader>
  </headerFooter>
  <rowBreaks count="1" manualBreakCount="1"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</cp:lastModifiedBy>
  <cp:lastPrinted>2022-09-19T06:41:03Z</cp:lastPrinted>
  <dcterms:created xsi:type="dcterms:W3CDTF">2013-10-08T11:20:39Z</dcterms:created>
  <dcterms:modified xsi:type="dcterms:W3CDTF">2022-09-19T06:41:32Z</dcterms:modified>
  <cp:category/>
  <cp:version/>
  <cp:contentType/>
  <cp:contentStatus/>
</cp:coreProperties>
</file>