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5480" windowHeight="9510" activeTab="1"/>
  </bookViews>
  <sheets>
    <sheet name="Приложение № 2 План мероприятий" sheetId="1" r:id="rId1"/>
    <sheet name="Приложение 3 Перечень объектов " sheetId="2" r:id="rId2"/>
  </sheets>
  <definedNames>
    <definedName name="_xlnm.Print_Titles" localSheetId="0">'Приложение № 2 План мероприятий'!$15:$17</definedName>
    <definedName name="_xlnm.Print_Area" localSheetId="1">'Приложение 3 Перечень объектов '!$A$1:$P$36</definedName>
    <definedName name="_xlnm.Print_Area" localSheetId="0">'Приложение № 2 План мероприятий'!$A$1:$K$444</definedName>
  </definedNames>
  <calcPr fullCalcOnLoad="1"/>
</workbook>
</file>

<file path=xl/sharedStrings.xml><?xml version="1.0" encoding="utf-8"?>
<sst xmlns="http://schemas.openxmlformats.org/spreadsheetml/2006/main" count="773" uniqueCount="532">
  <si>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</si>
  <si>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</si>
  <si>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</si>
  <si>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</si>
  <si>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</si>
  <si>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</si>
  <si>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</si>
  <si>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</si>
  <si>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</si>
  <si>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</si>
  <si>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</si>
  <si>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</si>
  <si>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</si>
  <si>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</si>
  <si>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</si>
  <si>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</si>
  <si>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</si>
  <si>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</si>
  <si>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</si>
  <si>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</si>
  <si>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Дверных блоков и санузлов МАОУ СОШ № 13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</si>
  <si>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</si>
  <si>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</si>
  <si>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</si>
  <si>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</si>
  <si>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МБДОУ № 18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</si>
  <si>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</si>
  <si>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</si>
  <si>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</si>
  <si>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</si>
  <si>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</si>
  <si>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t>Мероприятие 4. Проведение просветительских мероприятий для детей и родителей, всего, в том числе: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</si>
  <si>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</si>
  <si>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РАЗВИТИЕ ОБРАЗОВАНИЯ В СЕВЕРОУРАЛЬСКОМ ГОРОДСКОМ ОКРУГЕ на 2014 - 2020 ГОДЫ</t>
  </si>
  <si>
    <t>Прочие нужды всего, в том числе:</t>
  </si>
  <si>
    <t>МАДОУ № 33</t>
  </si>
  <si>
    <t>МАДОУ № 30</t>
  </si>
  <si>
    <t>МАДОУ № 5</t>
  </si>
  <si>
    <t>Бассейна МАДОУ № 30</t>
  </si>
  <si>
    <t xml:space="preserve">Кровли МАДОУ № 5 </t>
  </si>
  <si>
    <t>Кровли и перехода МБДОУ  № 18</t>
  </si>
  <si>
    <t>Кровли  МБДОУ № 14</t>
  </si>
  <si>
    <t>Оконных блоков МАДОУ № 23</t>
  </si>
  <si>
    <t>Оконных блоков МБДОУ № 34</t>
  </si>
  <si>
    <t>Оконных блоков МБДОУ № 32</t>
  </si>
  <si>
    <t>МАДОУ № 23</t>
  </si>
  <si>
    <t>МБОУ СОШ №  2</t>
  </si>
  <si>
    <t>МБОУ СОШ №  15</t>
  </si>
  <si>
    <t>Окон, фасада, входной группы МАОУ СОШ № 1</t>
  </si>
  <si>
    <t>МАОУ СОШ № 1</t>
  </si>
  <si>
    <t>МБОУ СОШ № 2</t>
  </si>
  <si>
    <t>МАОУ СОШ № 9</t>
  </si>
  <si>
    <t>МБОУ ООШ № 4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</si>
  <si>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</si>
  <si>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</si>
  <si>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</si>
  <si>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</si>
  <si>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</si>
  <si>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</si>
  <si>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</si>
  <si>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</si>
  <si>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Открытие дошкольной группы м МБОУ ООШ № 4 п.Баяновка на 20 мест, всего: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</si>
  <si>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</si>
  <si>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</si>
  <si>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</si>
  <si>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</si>
  <si>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</si>
  <si>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</si>
  <si>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</si>
  <si>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</si>
  <si>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</si>
  <si>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</si>
  <si>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>86</t>
  </si>
  <si>
    <t>87</t>
  </si>
  <si>
    <t>88</t>
  </si>
  <si>
    <t>89</t>
  </si>
  <si>
    <t>90</t>
  </si>
  <si>
    <t>91</t>
  </si>
  <si>
    <t>92</t>
  </si>
  <si>
    <t>93</t>
  </si>
  <si>
    <t>85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</si>
  <si>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</si>
  <si>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</si>
  <si>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</si>
  <si>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</si>
  <si>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</si>
  <si>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</si>
  <si>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</si>
  <si>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</si>
  <si>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</si>
  <si>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</si>
  <si>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</si>
  <si>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</si>
  <si>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</si>
  <si>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</si>
  <si>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</si>
  <si>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</si>
  <si>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</si>
  <si>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</si>
  <si>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</si>
  <si>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</si>
  <si>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</si>
  <si>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</si>
  <si>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</si>
  <si>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</si>
  <si>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</si>
  <si>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</si>
  <si>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</si>
  <si>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</si>
  <si>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</si>
  <si>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</si>
  <si>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</si>
  <si>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</si>
  <si>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</si>
  <si>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</si>
  <si>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</si>
  <si>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</si>
  <si>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</si>
  <si>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</si>
  <si>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</si>
  <si>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</si>
  <si>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</si>
  <si>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</si>
  <si>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</si>
  <si>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</si>
  <si>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</si>
  <si>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</si>
  <si>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</si>
  <si>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</si>
  <si>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</si>
  <si>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</si>
  <si>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</si>
  <si>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</si>
  <si>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</si>
  <si>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</si>
  <si>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</si>
  <si>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</si>
  <si>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</si>
  <si>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</si>
  <si>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</si>
  <si>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</si>
  <si>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</si>
  <si>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</si>
  <si>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</si>
  <si>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</si>
  <si>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</si>
  <si>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</si>
  <si>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</si>
  <si>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</si>
  <si>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</si>
  <si>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</si>
  <si>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</si>
  <si>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</si>
  <si>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</si>
  <si>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</si>
  <si>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</si>
  <si>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</si>
  <si>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</si>
  <si>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</si>
  <si>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</si>
  <si>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</si>
  <si>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</si>
  <si>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</si>
  <si>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</si>
  <si>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</si>
  <si>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</si>
  <si>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</si>
  <si>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</si>
  <si>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</si>
  <si>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</si>
  <si>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</si>
  <si>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</si>
  <si>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</si>
  <si>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</si>
  <si>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</si>
  <si>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</si>
  <si>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</si>
  <si>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</si>
  <si>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</si>
  <si>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</si>
  <si>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</si>
  <si>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</si>
  <si>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</si>
  <si>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</si>
  <si>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</si>
  <si>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</si>
  <si>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</si>
  <si>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</si>
  <si>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</si>
  <si>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</si>
  <si>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</si>
  <si>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</si>
  <si>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</si>
  <si>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</si>
  <si>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</si>
  <si>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</si>
  <si>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</si>
  <si>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</si>
  <si>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</si>
  <si>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</si>
  <si>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</si>
  <si>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</si>
  <si>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</si>
  <si>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</si>
  <si>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</si>
  <si>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</si>
  <si>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</si>
  <si>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</si>
  <si>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</si>
  <si>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</si>
  <si>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</si>
  <si>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</si>
  <si>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</si>
  <si>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</si>
  <si>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</si>
  <si>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</si>
  <si>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</si>
  <si>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</si>
  <si>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</si>
  <si>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</si>
  <si>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</si>
  <si>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</si>
  <si>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</si>
  <si>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</si>
  <si>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</si>
  <si>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</si>
  <si>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</si>
  <si>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</si>
  <si>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</si>
  <si>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</si>
  <si>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</si>
  <si>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</si>
  <si>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</si>
  <si>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</si>
  <si>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</si>
  <si>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</si>
  <si>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262</t>
  </si>
  <si>
    <t>263</t>
  </si>
  <si>
    <t>264</t>
  </si>
  <si>
    <t>265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</si>
  <si>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</si>
  <si>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</si>
  <si>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</si>
  <si>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</si>
  <si>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</si>
  <si>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</si>
  <si>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</si>
  <si>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</si>
  <si>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</si>
  <si>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</si>
  <si>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</si>
  <si>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</si>
  <si>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</si>
  <si>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</si>
  <si>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</si>
  <si>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r>
      <t>Всего по направлению "Иные капитальные вложения"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</si>
  <si>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</si>
  <si>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</si>
  <si>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237</t>
  </si>
  <si>
    <t>238</t>
  </si>
  <si>
    <t>239</t>
  </si>
  <si>
    <t>240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</si>
  <si>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</si>
  <si>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</si>
  <si>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</si>
  <si>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</si>
  <si>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</si>
  <si>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</si>
  <si>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>235</t>
  </si>
  <si>
    <t>236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</si>
  <si>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</si>
  <si>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</si>
  <si>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</si>
  <si>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</si>
  <si>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</si>
  <si>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</si>
  <si>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</si>
  <si>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</si>
  <si>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</si>
  <si>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</si>
  <si>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</si>
  <si>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</si>
  <si>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</si>
  <si>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</si>
  <si>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</si>
  <si>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</si>
  <si>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</si>
  <si>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</si>
  <si>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</si>
  <si>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</si>
  <si>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</si>
  <si>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</si>
  <si>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</si>
  <si>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</si>
  <si>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</si>
  <si>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</si>
  <si>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</si>
  <si>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</si>
  <si>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</si>
  <si>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</si>
  <si>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</si>
  <si>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</si>
  <si>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</si>
  <si>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</si>
  <si>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</si>
  <si>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113</t>
  </si>
  <si>
    <t>115</t>
  </si>
  <si>
    <t>116</t>
  </si>
  <si>
    <t>117</t>
  </si>
  <si>
    <t>118</t>
  </si>
  <si>
    <t>219</t>
  </si>
  <si>
    <t>Приложение № 3</t>
  </si>
  <si>
    <t>объектов капитального строительства для бюджетных инвестиций</t>
  </si>
  <si>
    <t>муниципальной программы "Развитие образования в Североуральском городском округе" на 2014-2020 г.г.</t>
  </si>
  <si>
    <t>Всего по объекту 1, в том числе:</t>
  </si>
  <si>
    <t>Адрес объекта капитального строительства</t>
  </si>
  <si>
    <t xml:space="preserve"> </t>
  </si>
  <si>
    <t>Форма собственности</t>
  </si>
  <si>
    <t>муниципальная</t>
  </si>
  <si>
    <t>Сметная стоимость объекта</t>
  </si>
  <si>
    <t>в текущих ценах (на момент составления ПСД)</t>
  </si>
  <si>
    <t>в ценах соответствующих лет реализации проекта</t>
  </si>
  <si>
    <t>Сроки строительства (проектно-сметных работ, экспертизы проектно-сметной документации)</t>
  </si>
  <si>
    <t>начало</t>
  </si>
  <si>
    <t>ввод (завершение)</t>
  </si>
  <si>
    <t>Наименование объекта капитального строительства / Источники</t>
  </si>
  <si>
    <t>Ноябрь 2013</t>
  </si>
  <si>
    <t>Декабрь 2014</t>
  </si>
  <si>
    <t>п.Калья, ул.Больничный переулок, 4а</t>
  </si>
  <si>
    <t>Объект 1                                                                                                   (Строительство детского сада на 90 мест)</t>
  </si>
  <si>
    <t>федеральный</t>
  </si>
  <si>
    <t>Всего по объекту 2, в том числе:</t>
  </si>
  <si>
    <t>288</t>
  </si>
  <si>
    <t>Фасада, ливневых водостоков МАОУ СОШ № 14</t>
  </si>
  <si>
    <t>289</t>
  </si>
  <si>
    <t>к Постановлению Администрации</t>
  </si>
  <si>
    <t>Североуральского городского округа</t>
  </si>
  <si>
    <t xml:space="preserve">от                              №    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</si>
  <si>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</si>
  <si>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</si>
  <si>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Кровли МАДОУ № 21</t>
  </si>
  <si>
    <t>МАДОУ № 3</t>
  </si>
  <si>
    <t>МАДОУ № 21</t>
  </si>
  <si>
    <t>МАОУ СОШ №  14</t>
  </si>
  <si>
    <t>Кровли здания МАОУ СОШ № 14 по ул.Больничный пер., 5</t>
  </si>
  <si>
    <t>Здание МАОУ СОШ № 14 по ул.Больничный пер., 5</t>
  </si>
  <si>
    <t>290</t>
  </si>
  <si>
    <t>291</t>
  </si>
  <si>
    <t>292</t>
  </si>
  <si>
    <t>Мероприятие 12.                                                                                             Проектно-изыскательские работы, экспертиза и подготовительные мероприятия по оборудованию спортивной площадки на территории МАОУ СОШ № 8, всего, из них:</t>
  </si>
  <si>
    <t>Мероприятие 13.                                                                                             Оборудование спортивных площадок в муниципальных общеобразовательных организациях, всего, из них:</t>
  </si>
  <si>
    <t>293</t>
  </si>
  <si>
    <t>294</t>
  </si>
  <si>
    <t>295</t>
  </si>
  <si>
    <t>296</t>
  </si>
  <si>
    <t>297</t>
  </si>
  <si>
    <t>298</t>
  </si>
  <si>
    <t>299</t>
  </si>
  <si>
    <t>300</t>
  </si>
  <si>
    <t>Мероприятие 14.                                                                                            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всего, из них:</t>
  </si>
  <si>
    <t>задача 1.2, целевые показатели 2,3 (строки 6,7)</t>
  </si>
  <si>
    <t>задача 1.4, целевой показатель 6 (строка 12)</t>
  </si>
  <si>
    <t>задача 1.3, целевые показатели 4,5 (строки 9,10), задача 1.4, целевой показатель 6 (строка 12)</t>
  </si>
  <si>
    <t>задача 2.2, целевой показатель 8 (строка 18)</t>
  </si>
  <si>
    <t>задача 2.3, целевые показатели 13,14 (строки 24,25)</t>
  </si>
  <si>
    <t>задача 2.3, целевой показатель 15 (строка 26)</t>
  </si>
  <si>
    <t>Мероприятие 15.                                                                                             Капитальный ремонт зданий и помещений 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организациях, всего, из них:</t>
  </si>
  <si>
    <t>Окон, помещений, электрооборудования МАОУ СОШ № 8</t>
  </si>
  <si>
    <t>Системы отопления, помещений  МБОУ СОШ № 2</t>
  </si>
  <si>
    <t>задача 2.3, целевой показатель 16 (строка 27)</t>
  </si>
  <si>
    <t>задача 6.1, целевой показатель 35 (строка 66)</t>
  </si>
  <si>
    <t>задача 2.5, целевой показатель 18 (строка 31)</t>
  </si>
  <si>
    <t>задача 3.3, целевые показатели 24-27 (строки 44-47)</t>
  </si>
  <si>
    <t>задача 3.1, целевые показатели 21,22 (строки 39-40)</t>
  </si>
  <si>
    <t>задача 3.2, целевой показатель 23 (строка 42)</t>
  </si>
  <si>
    <t>задача 4.2, целевой показатель 31 (строка 55)</t>
  </si>
  <si>
    <t>задача 4.1, целевой показатель 28 (строка 51)</t>
  </si>
  <si>
    <t>задача 5.1, целевые показатели 32,33 (строки 59-60), задача 5.2, целевой показатель 34 (строка 62)</t>
  </si>
  <si>
    <t>задача 5.1, целевой показатель 33 (строка 60)</t>
  </si>
  <si>
    <t>задача 5.2, целевой показатель 34 (строка 62)</t>
  </si>
  <si>
    <t>задачи 6.1-6.3, целевые показатели 35-38 (строки 66, 68,70, 71)</t>
  </si>
  <si>
    <t>задачи 6.3-6.4, целевые показатели 37-40 (строки 70, 71, 73, 74)</t>
  </si>
  <si>
    <t>задача 6.4, целевые показатели 39, 40 (строки 73,74)</t>
  </si>
  <si>
    <t>задача 6.2, целевой показатель 36 (строка 68)</t>
  </si>
  <si>
    <t>301</t>
  </si>
  <si>
    <t>302</t>
  </si>
  <si>
    <t>303</t>
  </si>
  <si>
    <t>304</t>
  </si>
  <si>
    <t>Спортивной площадки МАДОУ № 4</t>
  </si>
  <si>
    <t>МБДОУ № 34</t>
  </si>
  <si>
    <t>Окон и мастерских МАОУ СОШ № 9</t>
  </si>
  <si>
    <t>Кровли МАУ ДО "Центр "Остров"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</si>
  <si>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</si>
  <si>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</si>
  <si>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</si>
  <si>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</si>
  <si>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</si>
  <si>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</si>
  <si>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</si>
  <si>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</si>
  <si>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</si>
  <si>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</si>
  <si>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</si>
  <si>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</si>
  <si>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</si>
  <si>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</si>
  <si>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</si>
  <si>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</si>
  <si>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</si>
  <si>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</si>
  <si>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</si>
  <si>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305</t>
  </si>
  <si>
    <t>306</t>
  </si>
  <si>
    <t>307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</si>
  <si>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</si>
  <si>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</si>
  <si>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</si>
  <si>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</si>
  <si>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</si>
  <si>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</si>
  <si>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</si>
  <si>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</si>
  <si>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</si>
  <si>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</si>
  <si>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</si>
  <si>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</si>
  <si>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</si>
  <si>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</si>
  <si>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</si>
  <si>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</si>
  <si>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</si>
  <si>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</si>
  <si>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</si>
  <si>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</si>
  <si>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</si>
  <si>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</si>
  <si>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</si>
  <si>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</si>
  <si>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</si>
  <si>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</si>
  <si>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</si>
  <si>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</si>
  <si>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</si>
  <si>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                      от                              №    </t>
  </si>
  <si>
    <t>Утверждено постановлением Админиистрации Североуральского городского округа</t>
  </si>
  <si>
    <t>№ ___________ от ______________________ 2016 года</t>
  </si>
  <si>
    <t>Приложение № 2 к муниципальной программе Североуральского городского округа</t>
  </si>
  <si>
    <t>местный бюджет                                                                                                (дополнительные работы за рамками Соглашения)</t>
  </si>
  <si>
    <t>308</t>
  </si>
  <si>
    <t>Мероприятие 8.                                                                                           Реконструкция объектов недвижимости образовательных организаций, всего, в том числе:</t>
  </si>
  <si>
    <t>ПРОЕКТ ПЛАНА МЕРОПРИЯТИЙ</t>
  </si>
  <si>
    <t>п.Черемухово, ул. Калинина, 5</t>
  </si>
  <si>
    <t>задача 1.3, целевой показатель 4 (строка 9)</t>
  </si>
  <si>
    <t>Кровли МАДОУ № 3</t>
  </si>
  <si>
    <t>Полов, дверных блоков, санузлов МАОУ СОШ № 14</t>
  </si>
  <si>
    <t>Мастерских МАОУ СОШ № 14</t>
  </si>
  <si>
    <t>БЮДЖЕТНАЯ РОСПИСЬ:</t>
  </si>
  <si>
    <t>Программа № 1 (курсовое обучение и пенсия)</t>
  </si>
  <si>
    <t>Программа № 5 (укрепление МТБ ДЮСШ)</t>
  </si>
  <si>
    <t>Итого разницы:</t>
  </si>
  <si>
    <t>отклонение</t>
  </si>
  <si>
    <t>Реконструкция кровли МАДОУ № 5</t>
  </si>
  <si>
    <t>55</t>
  </si>
  <si>
    <t>309</t>
  </si>
  <si>
    <t>310</t>
  </si>
  <si>
    <t>311</t>
  </si>
  <si>
    <t>312</t>
  </si>
  <si>
    <t>РАЗНИЦА между МП и БР это:</t>
  </si>
  <si>
    <t>Объект 2                                                                                                   (Реконструкция кровли МАДОУ № 5)</t>
  </si>
  <si>
    <t>октябрь 2017</t>
  </si>
  <si>
    <t>май                              2017</t>
  </si>
  <si>
    <t xml:space="preserve">четвертый                               год </t>
  </si>
  <si>
    <t>ПРОЕКТ ПЕРЕЧНЯ</t>
  </si>
  <si>
    <t>задача 1.1, целевой показатель 1 (строка 4),                                                                    задача 1.3, целевой показатель 5 (строка 10),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</si>
  <si>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задача 1.3, целевой показатель 5 (строка10),                                задача 1.4, целевой показатель 6 (строка 12)</t>
  </si>
  <si>
    <t>задача 2.3, целевой показатель 12 (строка 23),                                        задача 2.4, целевой показатель17 (строка 29),                                                   задача 2.5, целевой показатель 18 (строка 31)</t>
  </si>
  <si>
    <t>задача 2.6, целевой показатель 19 (строка 33),                                              задача 2.6, целевой показатель 20 (строка 35)</t>
  </si>
  <si>
    <t>задача 2.1, целевой показатель 7 (строка 16),                                                               задача 2.2, целевые показатели 8-11 (строки 18-21),                                          задача 2.3, целевой показатель 12 (строка 23)</t>
  </si>
  <si>
    <t>задача 2.1, целевой показатель 7 (строка 16),                                        задача 2.2, целевые показатели 8-11 (строки 18-21),                                                                                              задача 2.3, целевой показатель 12 (строка 23)</t>
  </si>
  <si>
    <t>задача 2.2, целевой показатель 8 (строка 18),                                                          задача 2.5, целевой показатель 18 (строка 31)</t>
  </si>
  <si>
    <t>задача 4.1, целевой показатель 29 (строка 52),                                                  задача 4.2, целевой показатель 31 (строка 55)</t>
  </si>
  <si>
    <t>задача 5.1, целевой показатель 32 (строка 59),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</si>
  <si>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задача 5.2, целевой показатель 34 (строка 62)</t>
  </si>
  <si>
    <t>задача 5.1, целевой показатель 32 (строка 59),                                           задача 5.2, целевой показатель 34 (строка 62)</t>
  </si>
  <si>
    <t>313</t>
  </si>
  <si>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</si>
  <si>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</si>
  <si>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</si>
  <si>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</si>
  <si>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</si>
  <si>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</si>
  <si>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</si>
  <si>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</si>
  <si>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</si>
  <si>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</si>
  <si>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</si>
  <si>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</si>
  <si>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</si>
  <si>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</si>
  <si>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</si>
  <si>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</si>
  <si>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</si>
  <si>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</si>
  <si>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</si>
  <si>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</si>
  <si>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</si>
  <si>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</si>
  <si>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из них по учреждениям:</t>
  </si>
  <si>
    <t>1.2. Иные капитальные вложения</t>
  </si>
  <si>
    <t>Окон МБОУ НОШ № 6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</si>
  <si>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</si>
  <si>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</si>
  <si>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</si>
  <si>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</si>
  <si>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</si>
  <si>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</si>
  <si>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Окон и санузлов МАОУ СОШ № 13</t>
  </si>
  <si>
    <t>Окон и бассейна МАОУ СОШ № 11</t>
  </si>
  <si>
    <t>МАОУ СОШ № 11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</si>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</sst>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</numFmts>
  <fonts count="50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77" fontId="0" fillId="0" borderId="11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77" fontId="0" fillId="0" borderId="13" xfId="0" applyNumberFormat="1" applyFont="1" applyBorder="1" applyAlignment="1">
      <alignment horizontal="right" vertical="center" wrapText="1"/>
    </xf>
    <xf numFmtId="177" fontId="2" fillId="0" borderId="13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177" fontId="11" fillId="0" borderId="11" xfId="0" applyNumberFormat="1" applyFont="1" applyBorder="1" applyAlignment="1">
      <alignment horizontal="right" vertical="center" wrapText="1"/>
    </xf>
    <xf numFmtId="177" fontId="0" fillId="0" borderId="13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177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177" fontId="0" fillId="0" borderId="11" xfId="0" applyNumberFormat="1" applyFont="1" applyFill="1" applyBorder="1" applyAlignment="1">
      <alignment horizontal="right" vertical="center" wrapText="1"/>
    </xf>
    <xf numFmtId="177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77" fontId="0" fillId="0" borderId="13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177" fontId="2" fillId="0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177" fontId="2" fillId="0" borderId="13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wrapText="1"/>
    </xf>
    <xf numFmtId="0" fontId="20" fillId="0" borderId="0" xfId="0" applyFont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8" fillId="22" borderId="11" xfId="0" applyNumberFormat="1" applyFont="1" applyFill="1" applyBorder="1" applyAlignment="1">
      <alignment horizontal="left" vertical="center" wrapText="1"/>
    </xf>
    <xf numFmtId="177" fontId="2" fillId="22" borderId="11" xfId="0" applyNumberFormat="1" applyFont="1" applyFill="1" applyBorder="1" applyAlignment="1">
      <alignment horizontal="righ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177" fontId="2" fillId="24" borderId="11" xfId="0" applyNumberFormat="1" applyFont="1" applyFill="1" applyBorder="1" applyAlignment="1">
      <alignment horizontal="center" vertical="center" wrapText="1"/>
    </xf>
    <xf numFmtId="177" fontId="0" fillId="25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77" fontId="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77" fontId="22" fillId="0" borderId="11" xfId="0" applyNumberFormat="1" applyFont="1" applyBorder="1" applyAlignment="1">
      <alignment horizontal="right" vertical="center" wrapText="1"/>
    </xf>
    <xf numFmtId="177" fontId="2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77" fontId="23" fillId="0" borderId="11" xfId="0" applyNumberFormat="1" applyFont="1" applyBorder="1" applyAlignment="1">
      <alignment horizontal="right" vertical="center" wrapText="1"/>
    </xf>
    <xf numFmtId="177" fontId="23" fillId="25" borderId="11" xfId="0" applyNumberFormat="1" applyFont="1" applyFill="1" applyBorder="1" applyAlignment="1">
      <alignment horizontal="right" vertical="center" wrapText="1"/>
    </xf>
    <xf numFmtId="177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77" fontId="11" fillId="25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7" fontId="13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177" fontId="19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77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7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4" fillId="0" borderId="11" xfId="0" applyNumberFormat="1" applyFont="1" applyBorder="1" applyAlignment="1">
      <alignment horizontal="left" vertical="center" wrapText="1"/>
    </xf>
    <xf numFmtId="177" fontId="14" fillId="0" borderId="0" xfId="0" applyNumberFormat="1" applyFont="1" applyAlignment="1">
      <alignment horizontal="left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7" fontId="0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0" fillId="0" borderId="13" xfId="0" applyNumberFormat="1" applyFont="1" applyFill="1" applyBorder="1" applyAlignment="1">
      <alignment horizontal="right" vertical="center" wrapText="1"/>
    </xf>
    <xf numFmtId="178" fontId="2" fillId="0" borderId="13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49" fontId="0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7" fontId="25" fillId="0" borderId="11" xfId="0" applyNumberFormat="1" applyFont="1" applyBorder="1" applyAlignment="1">
      <alignment horizontal="right" vertical="center" wrapText="1"/>
    </xf>
    <xf numFmtId="179" fontId="7" fillId="0" borderId="0" xfId="0" applyNumberFormat="1" applyFont="1" applyAlignment="1">
      <alignment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2" fillId="22" borderId="11" xfId="0" applyNumberFormat="1" applyFont="1" applyFill="1" applyBorder="1" applyAlignment="1">
      <alignment horizontal="right" vertical="center" wrapText="1"/>
    </xf>
    <xf numFmtId="180" fontId="18" fillId="0" borderId="0" xfId="0" applyNumberFormat="1" applyFont="1" applyAlignment="1">
      <alignment wrapText="1"/>
    </xf>
    <xf numFmtId="178" fontId="2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177" fontId="14" fillId="0" borderId="0" xfId="0" applyNumberFormat="1" applyFont="1" applyAlignment="1">
      <alignment wrapText="1"/>
    </xf>
    <xf numFmtId="178" fontId="2" fillId="0" borderId="13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top" wrapText="1"/>
    </xf>
    <xf numFmtId="177" fontId="0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left" vertical="center" wrapText="1"/>
    </xf>
    <xf numFmtId="177" fontId="5" fillId="0" borderId="11" xfId="0" applyNumberFormat="1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178" fontId="0" fillId="0" borderId="11" xfId="0" applyNumberFormat="1" applyFont="1" applyBorder="1" applyAlignment="1">
      <alignment horizontal="center" vertical="center" wrapText="1"/>
    </xf>
    <xf numFmtId="178" fontId="2" fillId="24" borderId="11" xfId="0" applyNumberFormat="1" applyFont="1" applyFill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178" fontId="11" fillId="0" borderId="11" xfId="0" applyNumberFormat="1" applyFont="1" applyFill="1" applyBorder="1" applyAlignment="1">
      <alignment horizontal="right" vertical="center" wrapText="1"/>
    </xf>
    <xf numFmtId="178" fontId="11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16" fillId="0" borderId="11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22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7" fillId="22" borderId="15" xfId="0" applyNumberFormat="1" applyFont="1" applyFill="1" applyBorder="1" applyAlignment="1">
      <alignment vertical="center" wrapText="1"/>
    </xf>
    <xf numFmtId="49" fontId="7" fillId="24" borderId="15" xfId="0" applyNumberFormat="1" applyFont="1" applyFill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7" fillId="6" borderId="15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8" fontId="1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7" fontId="22" fillId="0" borderId="11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top" wrapText="1"/>
    </xf>
    <xf numFmtId="178" fontId="0" fillId="0" borderId="14" xfId="0" applyNumberFormat="1" applyFont="1" applyFill="1" applyBorder="1" applyAlignment="1">
      <alignment horizontal="right" vertical="center" wrapText="1"/>
    </xf>
    <xf numFmtId="177" fontId="0" fillId="0" borderId="14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178" fontId="2" fillId="22" borderId="11" xfId="0" applyNumberFormat="1" applyFont="1" applyFill="1" applyBorder="1" applyAlignment="1">
      <alignment horizontal="right" vertical="center" wrapText="1"/>
    </xf>
    <xf numFmtId="178" fontId="2" fillId="6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/>
    </xf>
    <xf numFmtId="182" fontId="2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 horizontal="left"/>
    </xf>
    <xf numFmtId="178" fontId="0" fillId="0" borderId="11" xfId="0" applyNumberForma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49" fontId="2" fillId="0" borderId="0" xfId="0" applyNumberFormat="1" applyFont="1" applyAlignment="1">
      <alignment/>
    </xf>
    <xf numFmtId="4" fontId="2" fillId="0" borderId="11" xfId="0" applyNumberFormat="1" applyFont="1" applyFill="1" applyBorder="1" applyAlignment="1">
      <alignment/>
    </xf>
    <xf numFmtId="178" fontId="2" fillId="0" borderId="11" xfId="0" applyNumberFormat="1" applyFont="1" applyBorder="1" applyAlignment="1">
      <alignment/>
    </xf>
    <xf numFmtId="0" fontId="21" fillId="0" borderId="0" xfId="0" applyFont="1" applyAlignment="1">
      <alignment horizontal="left"/>
    </xf>
    <xf numFmtId="49" fontId="48" fillId="0" borderId="0" xfId="0" applyNumberFormat="1" applyFont="1" applyAlignment="1">
      <alignment/>
    </xf>
    <xf numFmtId="0" fontId="48" fillId="0" borderId="11" xfId="0" applyFont="1" applyBorder="1" applyAlignment="1">
      <alignment horizontal="right"/>
    </xf>
    <xf numFmtId="4" fontId="49" fillId="0" borderId="11" xfId="0" applyNumberFormat="1" applyFont="1" applyBorder="1" applyAlignment="1">
      <alignment/>
    </xf>
    <xf numFmtId="4" fontId="48" fillId="0" borderId="11" xfId="0" applyNumberFormat="1" applyFont="1" applyBorder="1" applyAlignment="1">
      <alignment/>
    </xf>
    <xf numFmtId="4" fontId="48" fillId="0" borderId="11" xfId="0" applyNumberFormat="1" applyFont="1" applyFill="1" applyBorder="1" applyAlignment="1">
      <alignment/>
    </xf>
    <xf numFmtId="178" fontId="48" fillId="0" borderId="11" xfId="0" applyNumberFormat="1" applyFont="1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1" fillId="7" borderId="11" xfId="0" applyFont="1" applyFill="1" applyBorder="1" applyAlignment="1">
      <alignment vertical="top" wrapText="1"/>
    </xf>
    <xf numFmtId="182" fontId="2" fillId="22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center" vertical="center" wrapText="1"/>
    </xf>
    <xf numFmtId="182" fontId="2" fillId="24" borderId="11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15" fillId="0" borderId="11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182" fontId="2" fillId="0" borderId="13" xfId="0" applyNumberFormat="1" applyFont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82" fontId="2" fillId="0" borderId="13" xfId="0" applyNumberFormat="1" applyFont="1" applyFill="1" applyBorder="1" applyAlignment="1">
      <alignment horizontal="right" vertical="center" wrapText="1"/>
    </xf>
    <xf numFmtId="182" fontId="11" fillId="0" borderId="11" xfId="0" applyNumberFormat="1" applyFont="1" applyFill="1" applyBorder="1" applyAlignment="1">
      <alignment horizontal="right" vertical="center" wrapText="1"/>
    </xf>
    <xf numFmtId="182" fontId="11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13" xfId="0" applyNumberFormat="1" applyFont="1" applyFill="1" applyBorder="1" applyAlignment="1">
      <alignment horizontal="right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2" fillId="22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182" fontId="2" fillId="6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6" fillId="0" borderId="11" xfId="0" applyNumberFormat="1" applyFont="1" applyBorder="1" applyAlignment="1">
      <alignment horizontal="center" vertical="center" wrapText="1"/>
    </xf>
    <xf numFmtId="182" fontId="0" fillId="0" borderId="13" xfId="0" applyNumberFormat="1" applyFont="1" applyFill="1" applyBorder="1" applyAlignment="1">
      <alignment horizontal="right" vertical="center" wrapText="1"/>
    </xf>
    <xf numFmtId="182" fontId="25" fillId="0" borderId="13" xfId="0" applyNumberFormat="1" applyFont="1" applyFill="1" applyBorder="1" applyAlignment="1">
      <alignment horizontal="right" vertical="center" wrapText="1"/>
    </xf>
    <xf numFmtId="182" fontId="25" fillId="0" borderId="13" xfId="0" applyNumberFormat="1" applyFont="1" applyBorder="1" applyAlignment="1">
      <alignment horizontal="right" vertical="center" wrapText="1"/>
    </xf>
    <xf numFmtId="182" fontId="2" fillId="0" borderId="14" xfId="0" applyNumberFormat="1" applyFont="1" applyFill="1" applyBorder="1" applyAlignment="1">
      <alignment horizontal="right" vertical="center" wrapText="1"/>
    </xf>
    <xf numFmtId="182" fontId="0" fillId="0" borderId="14" xfId="0" applyNumberFormat="1" applyFont="1" applyFill="1" applyBorder="1" applyAlignment="1">
      <alignment horizontal="right" vertical="center" wrapText="1"/>
    </xf>
    <xf numFmtId="182" fontId="8" fillId="0" borderId="11" xfId="0" applyNumberFormat="1" applyFont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8" fillId="0" borderId="13" xfId="0" applyNumberFormat="1" applyFont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81" fontId="8" fillId="0" borderId="11" xfId="0" applyNumberFormat="1" applyFont="1" applyFill="1" applyBorder="1" applyAlignment="1">
      <alignment horizontal="right" vertical="center" wrapText="1"/>
    </xf>
    <xf numFmtId="181" fontId="7" fillId="0" borderId="11" xfId="0" applyNumberFormat="1" applyFont="1" applyFill="1" applyBorder="1" applyAlignment="1">
      <alignment horizontal="right" vertical="center" wrapText="1"/>
    </xf>
    <xf numFmtId="182" fontId="0" fillId="0" borderId="13" xfId="0" applyNumberFormat="1" applyFont="1" applyFill="1" applyBorder="1" applyAlignment="1">
      <alignment horizontal="right" vertical="center" wrapText="1"/>
    </xf>
    <xf numFmtId="0" fontId="8" fillId="24" borderId="15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22" borderId="15" xfId="0" applyNumberFormat="1" applyFont="1" applyFill="1" applyBorder="1" applyAlignment="1">
      <alignment horizontal="center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0" fontId="8" fillId="22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7"/>
  <sheetViews>
    <sheetView view="pageBreakPreview" zoomScaleSheetLayoutView="100" zoomScalePageLayoutView="0" workbookViewId="0" topLeftCell="A4">
      <selection activeCell="E485" sqref="E485"/>
    </sheetView>
  </sheetViews>
  <sheetFormatPr defaultColWidth="9.00390625" defaultRowHeight="12.75"/>
  <cols>
    <col min="1" max="1" width="7.00390625" style="162" customWidth="1"/>
    <col min="2" max="2" width="63.00390625" style="105" customWidth="1"/>
    <col min="3" max="3" width="14.625" style="3" customWidth="1"/>
    <col min="4" max="5" width="11.125" style="0" customWidth="1"/>
    <col min="6" max="6" width="13.00390625" style="173" customWidth="1"/>
    <col min="7" max="9" width="13.875" style="0" customWidth="1"/>
    <col min="10" max="10" width="11.125" style="0" customWidth="1"/>
    <col min="11" max="11" width="47.125" style="69" customWidth="1"/>
    <col min="12" max="12" width="8.625" style="0" customWidth="1"/>
  </cols>
  <sheetData>
    <row r="1" spans="1:11" s="1" customFormat="1" ht="15.75">
      <c r="A1" s="162"/>
      <c r="B1" s="2"/>
      <c r="C1" s="107"/>
      <c r="F1" s="170"/>
      <c r="G1" s="82"/>
      <c r="H1" s="82"/>
      <c r="I1" s="82"/>
      <c r="J1" s="82"/>
      <c r="K1" s="83" t="s">
        <v>335</v>
      </c>
    </row>
    <row r="2" spans="1:11" s="1" customFormat="1" ht="15.75">
      <c r="A2" s="162"/>
      <c r="B2" s="81"/>
      <c r="C2" s="108"/>
      <c r="E2" s="82"/>
      <c r="F2" s="125"/>
      <c r="G2" s="82"/>
      <c r="H2" s="82"/>
      <c r="I2" s="82"/>
      <c r="J2" s="82"/>
      <c r="K2" s="83" t="s">
        <v>336</v>
      </c>
    </row>
    <row r="3" spans="1:11" s="1" customFormat="1" ht="15.75">
      <c r="A3" s="162"/>
      <c r="B3" s="81"/>
      <c r="C3" s="108"/>
      <c r="E3" s="68"/>
      <c r="F3" s="148"/>
      <c r="G3" s="68"/>
      <c r="H3" s="68"/>
      <c r="I3" s="68"/>
      <c r="J3" s="68"/>
      <c r="K3" s="105" t="s">
        <v>443</v>
      </c>
    </row>
    <row r="4" spans="1:11" s="1" customFormat="1" ht="15.75">
      <c r="A4" s="162"/>
      <c r="B4" s="81"/>
      <c r="C4" s="108"/>
      <c r="D4" s="161"/>
      <c r="E4" s="68"/>
      <c r="F4" s="148"/>
      <c r="G4" s="68"/>
      <c r="H4" s="68"/>
      <c r="I4" s="68"/>
      <c r="J4" s="68"/>
      <c r="K4" s="83" t="s">
        <v>13</v>
      </c>
    </row>
    <row r="5" spans="1:11" s="1" customFormat="1" ht="15.75">
      <c r="A5" s="162"/>
      <c r="B5" s="81"/>
      <c r="C5" s="108"/>
      <c r="E5" s="68"/>
      <c r="F5" s="148"/>
      <c r="G5" s="68"/>
      <c r="H5" s="68"/>
      <c r="I5" s="256" t="s">
        <v>338</v>
      </c>
      <c r="J5" s="256"/>
      <c r="K5" s="256"/>
    </row>
    <row r="6" spans="1:11" s="1" customFormat="1" ht="15.75">
      <c r="A6" s="162"/>
      <c r="B6" s="81"/>
      <c r="C6" s="108"/>
      <c r="D6" s="161"/>
      <c r="E6" s="68"/>
      <c r="F6" s="148"/>
      <c r="G6" s="68"/>
      <c r="H6" s="256" t="s">
        <v>339</v>
      </c>
      <c r="I6" s="256"/>
      <c r="J6" s="256"/>
      <c r="K6" s="256"/>
    </row>
    <row r="7" spans="1:11" s="1" customFormat="1" ht="15.75">
      <c r="A7" s="162"/>
      <c r="B7" s="81"/>
      <c r="C7" s="108"/>
      <c r="D7" s="161"/>
      <c r="E7" s="68"/>
      <c r="F7" s="148"/>
      <c r="G7" s="68"/>
      <c r="H7" s="256" t="s">
        <v>444</v>
      </c>
      <c r="I7" s="256"/>
      <c r="J7" s="256"/>
      <c r="K7" s="256"/>
    </row>
    <row r="8" spans="1:11" s="1" customFormat="1" ht="15.75">
      <c r="A8" s="162"/>
      <c r="B8" s="81"/>
      <c r="C8" s="108"/>
      <c r="D8" s="161"/>
      <c r="E8" s="68"/>
      <c r="F8" s="148"/>
      <c r="G8" s="68"/>
      <c r="H8" s="256" t="s">
        <v>445</v>
      </c>
      <c r="I8" s="256"/>
      <c r="J8" s="256"/>
      <c r="K8" s="256"/>
    </row>
    <row r="9" spans="1:11" s="1" customFormat="1" ht="15.75">
      <c r="A9" s="162"/>
      <c r="B9" s="81"/>
      <c r="C9" s="108"/>
      <c r="E9" s="68"/>
      <c r="F9" s="148"/>
      <c r="G9" s="68"/>
      <c r="H9" s="256" t="s">
        <v>446</v>
      </c>
      <c r="I9" s="256"/>
      <c r="J9" s="256"/>
      <c r="K9" s="256"/>
    </row>
    <row r="10" spans="1:11" s="1" customFormat="1" ht="15.75">
      <c r="A10" s="162"/>
      <c r="B10" s="81"/>
      <c r="C10" s="108"/>
      <c r="E10" s="68"/>
      <c r="F10" s="148"/>
      <c r="G10" s="68"/>
      <c r="H10" s="256" t="s">
        <v>339</v>
      </c>
      <c r="I10" s="256"/>
      <c r="J10" s="256"/>
      <c r="K10" s="256"/>
    </row>
    <row r="11" spans="1:11" s="1" customFormat="1" ht="15.75">
      <c r="A11" s="260" t="s">
        <v>450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11" s="1" customFormat="1" ht="15.75">
      <c r="A12" s="260" t="s">
        <v>489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</row>
    <row r="13" spans="1:11" s="1" customFormat="1" ht="15.75">
      <c r="A13" s="260" t="s">
        <v>33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</row>
    <row r="14" spans="1:11" s="1" customFormat="1" ht="15">
      <c r="A14" s="162"/>
      <c r="B14" s="2"/>
      <c r="C14" s="181"/>
      <c r="F14" s="170"/>
      <c r="K14" s="69"/>
    </row>
    <row r="15" spans="1:11" s="3" customFormat="1" ht="26.25" customHeight="1">
      <c r="A15" s="264" t="s">
        <v>488</v>
      </c>
      <c r="B15" s="261" t="s">
        <v>63</v>
      </c>
      <c r="C15" s="257" t="s">
        <v>62</v>
      </c>
      <c r="D15" s="258"/>
      <c r="E15" s="258"/>
      <c r="F15" s="258"/>
      <c r="G15" s="258"/>
      <c r="H15" s="258"/>
      <c r="I15" s="258"/>
      <c r="J15" s="259"/>
      <c r="K15" s="261" t="s">
        <v>491</v>
      </c>
    </row>
    <row r="16" spans="1:11" s="3" customFormat="1" ht="30.75" customHeight="1">
      <c r="A16" s="265"/>
      <c r="B16" s="263"/>
      <c r="C16" s="261" t="s">
        <v>490</v>
      </c>
      <c r="D16" s="4" t="s">
        <v>65</v>
      </c>
      <c r="E16" s="4" t="s">
        <v>66</v>
      </c>
      <c r="F16" s="171" t="s">
        <v>67</v>
      </c>
      <c r="G16" s="4" t="s">
        <v>471</v>
      </c>
      <c r="H16" s="4" t="s">
        <v>69</v>
      </c>
      <c r="I16" s="4" t="s">
        <v>70</v>
      </c>
      <c r="J16" s="4" t="s">
        <v>71</v>
      </c>
      <c r="K16" s="263"/>
    </row>
    <row r="17" spans="1:11" s="3" customFormat="1" ht="15.75" customHeight="1">
      <c r="A17" s="266"/>
      <c r="B17" s="262"/>
      <c r="C17" s="262"/>
      <c r="D17" s="4">
        <v>2014</v>
      </c>
      <c r="E17" s="4">
        <v>2015</v>
      </c>
      <c r="F17" s="171">
        <v>2016</v>
      </c>
      <c r="G17" s="4">
        <v>2017</v>
      </c>
      <c r="H17" s="4">
        <v>2018</v>
      </c>
      <c r="I17" s="4">
        <v>2019</v>
      </c>
      <c r="J17" s="4">
        <v>2020</v>
      </c>
      <c r="K17" s="262"/>
    </row>
    <row r="18" spans="1:11" s="23" customFormat="1" ht="30" customHeight="1">
      <c r="A18" s="163">
        <v>1</v>
      </c>
      <c r="B18" s="47" t="s">
        <v>529</v>
      </c>
      <c r="C18" s="204">
        <f>SUM(D18:J18)</f>
        <v>5004877.01766</v>
      </c>
      <c r="D18" s="112">
        <f aca="true" t="shared" si="0" ref="D18:J18">SUM(D19:D22)</f>
        <v>707299.138</v>
      </c>
      <c r="E18" s="179">
        <f t="shared" si="0"/>
        <v>713636.937</v>
      </c>
      <c r="F18" s="224">
        <f>SUM(F19:F22)</f>
        <v>702956.4426600001</v>
      </c>
      <c r="G18" s="204">
        <f t="shared" si="0"/>
        <v>700333.4</v>
      </c>
      <c r="H18" s="204">
        <f t="shared" si="0"/>
        <v>696626.5</v>
      </c>
      <c r="I18" s="204">
        <f t="shared" si="0"/>
        <v>698458.3</v>
      </c>
      <c r="J18" s="48">
        <f t="shared" si="0"/>
        <v>785566.3</v>
      </c>
      <c r="K18" s="70"/>
    </row>
    <row r="19" spans="1:12" s="25" customFormat="1" ht="15" customHeight="1">
      <c r="A19" s="104">
        <v>2</v>
      </c>
      <c r="B19" s="5" t="s">
        <v>492</v>
      </c>
      <c r="C19" s="210">
        <f>SUM(C25+C31)</f>
        <v>1977377.76066</v>
      </c>
      <c r="D19" s="111">
        <f>SUM(D25+D31)</f>
        <v>315595.163</v>
      </c>
      <c r="E19" s="111">
        <f aca="true" t="shared" si="1" ref="E19:F22">SUM(E25+E31)</f>
        <v>323285.155</v>
      </c>
      <c r="F19" s="205">
        <f t="shared" si="1"/>
        <v>238025.84266000005</v>
      </c>
      <c r="G19" s="205">
        <f aca="true" t="shared" si="2" ref="G19:J22">SUM(G25+G31)</f>
        <v>251506.2</v>
      </c>
      <c r="H19" s="205">
        <f t="shared" si="2"/>
        <v>247799.30000000005</v>
      </c>
      <c r="I19" s="205">
        <f t="shared" si="2"/>
        <v>249631.09999999998</v>
      </c>
      <c r="J19" s="52">
        <f t="shared" si="2"/>
        <v>351535</v>
      </c>
      <c r="K19" s="160"/>
      <c r="L19" s="119"/>
    </row>
    <row r="20" spans="1:12" s="25" customFormat="1" ht="15" customHeight="1">
      <c r="A20" s="104">
        <v>3</v>
      </c>
      <c r="B20" s="5" t="s">
        <v>493</v>
      </c>
      <c r="C20" s="210">
        <f>SUM(C26+C32)</f>
        <v>20310.906</v>
      </c>
      <c r="D20" s="111">
        <f aca="true" t="shared" si="3" ref="C20:D22">SUM(D26+D32)</f>
        <v>13957.775</v>
      </c>
      <c r="E20" s="111">
        <f>SUM(E26+E32)</f>
        <v>2441.431</v>
      </c>
      <c r="F20" s="205">
        <f t="shared" si="1"/>
        <v>3911.7</v>
      </c>
      <c r="G20" s="205">
        <f t="shared" si="2"/>
        <v>0</v>
      </c>
      <c r="H20" s="205">
        <f t="shared" si="2"/>
        <v>0</v>
      </c>
      <c r="I20" s="205">
        <f t="shared" si="2"/>
        <v>0</v>
      </c>
      <c r="J20" s="52">
        <f t="shared" si="2"/>
        <v>0</v>
      </c>
      <c r="K20" s="160"/>
      <c r="L20" s="119"/>
    </row>
    <row r="21" spans="1:12" s="25" customFormat="1" ht="15" customHeight="1">
      <c r="A21" s="104">
        <v>4</v>
      </c>
      <c r="B21" s="5" t="s">
        <v>494</v>
      </c>
      <c r="C21" s="210">
        <f t="shared" si="3"/>
        <v>2719490.951</v>
      </c>
      <c r="D21" s="111">
        <f>SUM(D27+D33)</f>
        <v>342548.8</v>
      </c>
      <c r="E21" s="111">
        <f>SUM(E27+E33)</f>
        <v>349910.351</v>
      </c>
      <c r="F21" s="205">
        <f>SUM(F27+F33)</f>
        <v>419318.9</v>
      </c>
      <c r="G21" s="205">
        <f t="shared" si="2"/>
        <v>405627.2</v>
      </c>
      <c r="H21" s="205">
        <f t="shared" si="2"/>
        <v>405627.2</v>
      </c>
      <c r="I21" s="205">
        <f t="shared" si="2"/>
        <v>405627.2</v>
      </c>
      <c r="J21" s="52">
        <f t="shared" si="2"/>
        <v>390831.3</v>
      </c>
      <c r="K21" s="160"/>
      <c r="L21" s="119"/>
    </row>
    <row r="22" spans="1:12" s="25" customFormat="1" ht="15" customHeight="1">
      <c r="A22" s="104">
        <v>5</v>
      </c>
      <c r="B22" s="5" t="s">
        <v>495</v>
      </c>
      <c r="C22" s="210">
        <f t="shared" si="3"/>
        <v>287697.4</v>
      </c>
      <c r="D22" s="111">
        <f t="shared" si="3"/>
        <v>35197.4</v>
      </c>
      <c r="E22" s="111">
        <f t="shared" si="1"/>
        <v>38000</v>
      </c>
      <c r="F22" s="205">
        <f t="shared" si="1"/>
        <v>41700</v>
      </c>
      <c r="G22" s="205">
        <f t="shared" si="2"/>
        <v>43200</v>
      </c>
      <c r="H22" s="205">
        <f t="shared" si="2"/>
        <v>43200</v>
      </c>
      <c r="I22" s="205">
        <f t="shared" si="2"/>
        <v>43200</v>
      </c>
      <c r="J22" s="52">
        <f t="shared" si="2"/>
        <v>43200</v>
      </c>
      <c r="K22" s="160"/>
      <c r="L22" s="119"/>
    </row>
    <row r="23" spans="1:11" s="25" customFormat="1" ht="15" customHeight="1">
      <c r="A23" s="104"/>
      <c r="B23" s="5"/>
      <c r="C23" s="227"/>
      <c r="D23" s="149"/>
      <c r="E23" s="149"/>
      <c r="F23" s="225"/>
      <c r="G23" s="206"/>
      <c r="H23" s="206"/>
      <c r="I23" s="206"/>
      <c r="J23" s="36"/>
      <c r="K23" s="71"/>
    </row>
    <row r="24" spans="1:11" s="27" customFormat="1" ht="30" customHeight="1">
      <c r="A24" s="164">
        <v>6</v>
      </c>
      <c r="B24" s="49" t="s">
        <v>510</v>
      </c>
      <c r="C24" s="207">
        <f>SUM(C25:C28)</f>
        <v>156310.855</v>
      </c>
      <c r="D24" s="150">
        <f aca="true" t="shared" si="4" ref="D24:J24">SUM(D25:D28)</f>
        <v>54205.854999999996</v>
      </c>
      <c r="E24" s="180">
        <f t="shared" si="4"/>
        <v>7500</v>
      </c>
      <c r="F24" s="226">
        <f t="shared" si="4"/>
        <v>10000</v>
      </c>
      <c r="G24" s="207">
        <f t="shared" si="4"/>
        <v>19505</v>
      </c>
      <c r="H24" s="207">
        <f t="shared" si="4"/>
        <v>15000</v>
      </c>
      <c r="I24" s="207">
        <f t="shared" si="4"/>
        <v>16100</v>
      </c>
      <c r="J24" s="50">
        <f t="shared" si="4"/>
        <v>34000</v>
      </c>
      <c r="K24" s="70"/>
    </row>
    <row r="25" spans="1:11" s="25" customFormat="1" ht="15" customHeight="1">
      <c r="A25" s="104">
        <v>7</v>
      </c>
      <c r="B25" s="5" t="s">
        <v>492</v>
      </c>
      <c r="C25" s="210">
        <f aca="true" t="shared" si="5" ref="C25:J25">SUM(C44+C152+C308+C333+C366+C421)</f>
        <v>108199.55500000001</v>
      </c>
      <c r="D25" s="116">
        <f t="shared" si="5"/>
        <v>6094.555</v>
      </c>
      <c r="E25" s="116">
        <f t="shared" si="5"/>
        <v>7500</v>
      </c>
      <c r="F25" s="205">
        <f t="shared" si="5"/>
        <v>10000</v>
      </c>
      <c r="G25" s="208">
        <f t="shared" si="5"/>
        <v>19505</v>
      </c>
      <c r="H25" s="208">
        <f t="shared" si="5"/>
        <v>15000</v>
      </c>
      <c r="I25" s="208">
        <f t="shared" si="5"/>
        <v>16100</v>
      </c>
      <c r="J25" s="15">
        <f t="shared" si="5"/>
        <v>34000</v>
      </c>
      <c r="K25" s="160"/>
    </row>
    <row r="26" spans="1:11" s="25" customFormat="1" ht="15" customHeight="1">
      <c r="A26" s="104">
        <v>8</v>
      </c>
      <c r="B26" s="5" t="s">
        <v>493</v>
      </c>
      <c r="C26" s="210">
        <f aca="true" t="shared" si="6" ref="C26:J26">SUM(C45+C367)</f>
        <v>12802.1</v>
      </c>
      <c r="D26" s="116">
        <f t="shared" si="6"/>
        <v>12802.1</v>
      </c>
      <c r="E26" s="116">
        <f t="shared" si="6"/>
        <v>0</v>
      </c>
      <c r="F26" s="205">
        <f t="shared" si="6"/>
        <v>0</v>
      </c>
      <c r="G26" s="208">
        <f t="shared" si="6"/>
        <v>0</v>
      </c>
      <c r="H26" s="208">
        <f t="shared" si="6"/>
        <v>0</v>
      </c>
      <c r="I26" s="208">
        <f t="shared" si="6"/>
        <v>0</v>
      </c>
      <c r="J26" s="15">
        <f t="shared" si="6"/>
        <v>0</v>
      </c>
      <c r="K26" s="160"/>
    </row>
    <row r="27" spans="1:11" s="25" customFormat="1" ht="15" customHeight="1">
      <c r="A27" s="104">
        <v>9</v>
      </c>
      <c r="B27" s="5" t="s">
        <v>494</v>
      </c>
      <c r="C27" s="210">
        <f aca="true" t="shared" si="7" ref="C27:J27">SUM(C46+C304+C368)</f>
        <v>35309.2</v>
      </c>
      <c r="D27" s="116">
        <f t="shared" si="7"/>
        <v>35309.2</v>
      </c>
      <c r="E27" s="116">
        <f t="shared" si="7"/>
        <v>0</v>
      </c>
      <c r="F27" s="205">
        <f t="shared" si="7"/>
        <v>0</v>
      </c>
      <c r="G27" s="208">
        <f t="shared" si="7"/>
        <v>0</v>
      </c>
      <c r="H27" s="208">
        <f t="shared" si="7"/>
        <v>0</v>
      </c>
      <c r="I27" s="208">
        <f t="shared" si="7"/>
        <v>0</v>
      </c>
      <c r="J27" s="15">
        <f t="shared" si="7"/>
        <v>0</v>
      </c>
      <c r="K27" s="160"/>
    </row>
    <row r="28" spans="1:11" s="25" customFormat="1" ht="15" customHeight="1">
      <c r="A28" s="104">
        <v>10</v>
      </c>
      <c r="B28" s="5" t="s">
        <v>495</v>
      </c>
      <c r="C28" s="210">
        <f>SUM(D28:J28)</f>
        <v>0</v>
      </c>
      <c r="D28" s="116">
        <f>SUM(D47)</f>
        <v>0</v>
      </c>
      <c r="E28" s="116">
        <f aca="true" t="shared" si="8" ref="E28:J28">SUM(E47)</f>
        <v>0</v>
      </c>
      <c r="F28" s="205">
        <f t="shared" si="8"/>
        <v>0</v>
      </c>
      <c r="G28" s="208">
        <f t="shared" si="8"/>
        <v>0</v>
      </c>
      <c r="H28" s="208">
        <f t="shared" si="8"/>
        <v>0</v>
      </c>
      <c r="I28" s="208">
        <f t="shared" si="8"/>
        <v>0</v>
      </c>
      <c r="J28" s="15">
        <f t="shared" si="8"/>
        <v>0</v>
      </c>
      <c r="K28" s="160"/>
    </row>
    <row r="29" spans="1:11" s="25" customFormat="1" ht="15" customHeight="1">
      <c r="A29" s="104"/>
      <c r="B29" s="5"/>
      <c r="C29" s="227"/>
      <c r="D29" s="149"/>
      <c r="E29" s="149"/>
      <c r="F29" s="225"/>
      <c r="G29" s="206"/>
      <c r="H29" s="206"/>
      <c r="I29" s="206"/>
      <c r="J29" s="36"/>
      <c r="K29" s="71"/>
    </row>
    <row r="30" spans="1:11" s="27" customFormat="1" ht="30" customHeight="1">
      <c r="A30" s="164">
        <v>11</v>
      </c>
      <c r="B30" s="49" t="s">
        <v>34</v>
      </c>
      <c r="C30" s="207">
        <f>SUM(C31:C34)</f>
        <v>4848566.16266</v>
      </c>
      <c r="D30" s="150">
        <f aca="true" t="shared" si="9" ref="D30:J30">SUM(D31:D34)</f>
        <v>653093.2829999999</v>
      </c>
      <c r="E30" s="150">
        <f t="shared" si="9"/>
        <v>706136.937</v>
      </c>
      <c r="F30" s="226">
        <f t="shared" si="9"/>
        <v>692956.4426600001</v>
      </c>
      <c r="G30" s="207">
        <f t="shared" si="9"/>
        <v>680828.4</v>
      </c>
      <c r="H30" s="207">
        <f t="shared" si="9"/>
        <v>681626.5</v>
      </c>
      <c r="I30" s="207">
        <f t="shared" si="9"/>
        <v>682358.3</v>
      </c>
      <c r="J30" s="50">
        <f t="shared" si="9"/>
        <v>751566.3</v>
      </c>
      <c r="K30" s="70"/>
    </row>
    <row r="31" spans="1:11" s="25" customFormat="1" ht="15" customHeight="1">
      <c r="A31" s="104">
        <v>12</v>
      </c>
      <c r="B31" s="5" t="s">
        <v>492</v>
      </c>
      <c r="C31" s="210">
        <f>SUM(D31:J31)</f>
        <v>1869178.20566</v>
      </c>
      <c r="D31" s="116">
        <f aca="true" t="shared" si="10" ref="D31:J31">SUM(D75+D184+D317+D339+D384+D427)</f>
        <v>309500.608</v>
      </c>
      <c r="E31" s="116">
        <f t="shared" si="10"/>
        <v>315785.155</v>
      </c>
      <c r="F31" s="205">
        <f t="shared" si="10"/>
        <v>228025.84266000005</v>
      </c>
      <c r="G31" s="208">
        <f t="shared" si="10"/>
        <v>232001.2</v>
      </c>
      <c r="H31" s="208">
        <f t="shared" si="10"/>
        <v>232799.30000000005</v>
      </c>
      <c r="I31" s="208">
        <f t="shared" si="10"/>
        <v>233531.09999999998</v>
      </c>
      <c r="J31" s="15">
        <f t="shared" si="10"/>
        <v>317535</v>
      </c>
      <c r="K31" s="160"/>
    </row>
    <row r="32" spans="1:11" s="25" customFormat="1" ht="15" customHeight="1">
      <c r="A32" s="104">
        <v>13</v>
      </c>
      <c r="B32" s="5" t="s">
        <v>493</v>
      </c>
      <c r="C32" s="210">
        <f>SUM(D32:J32)</f>
        <v>7508.806</v>
      </c>
      <c r="D32" s="116">
        <f aca="true" t="shared" si="11" ref="D32:J32">SUM(D76+D185+D340+D428)</f>
        <v>1155.675</v>
      </c>
      <c r="E32" s="116">
        <f t="shared" si="11"/>
        <v>2441.431</v>
      </c>
      <c r="F32" s="205">
        <f t="shared" si="11"/>
        <v>3911.7</v>
      </c>
      <c r="G32" s="208">
        <f t="shared" si="11"/>
        <v>0</v>
      </c>
      <c r="H32" s="208">
        <f t="shared" si="11"/>
        <v>0</v>
      </c>
      <c r="I32" s="208">
        <f t="shared" si="11"/>
        <v>0</v>
      </c>
      <c r="J32" s="15">
        <f t="shared" si="11"/>
        <v>0</v>
      </c>
      <c r="K32" s="160"/>
    </row>
    <row r="33" spans="1:12" s="25" customFormat="1" ht="15" customHeight="1">
      <c r="A33" s="104">
        <v>14</v>
      </c>
      <c r="B33" s="5" t="s">
        <v>494</v>
      </c>
      <c r="C33" s="210">
        <f>SUM(D33:J33)</f>
        <v>2684181.7509999997</v>
      </c>
      <c r="D33" s="116">
        <f aca="true" t="shared" si="12" ref="D33:J33">SUM(D77+D186+D299+D341+D432)</f>
        <v>307239.6</v>
      </c>
      <c r="E33" s="116">
        <f t="shared" si="12"/>
        <v>349910.351</v>
      </c>
      <c r="F33" s="205">
        <f t="shared" si="12"/>
        <v>419318.9</v>
      </c>
      <c r="G33" s="208">
        <f t="shared" si="12"/>
        <v>405627.2</v>
      </c>
      <c r="H33" s="208">
        <f t="shared" si="12"/>
        <v>405627.2</v>
      </c>
      <c r="I33" s="208">
        <f t="shared" si="12"/>
        <v>405627.2</v>
      </c>
      <c r="J33" s="15">
        <f t="shared" si="12"/>
        <v>390831.3</v>
      </c>
      <c r="K33" s="160"/>
      <c r="L33" s="88"/>
    </row>
    <row r="34" spans="1:11" s="25" customFormat="1" ht="15" customHeight="1">
      <c r="A34" s="104">
        <v>15</v>
      </c>
      <c r="B34" s="5" t="s">
        <v>495</v>
      </c>
      <c r="C34" s="210">
        <f>SUM(D34:J34)</f>
        <v>287697.4</v>
      </c>
      <c r="D34" s="116">
        <f aca="true" t="shared" si="13" ref="D34:J34">SUM(D78+D187)</f>
        <v>35197.4</v>
      </c>
      <c r="E34" s="116">
        <f t="shared" si="13"/>
        <v>38000</v>
      </c>
      <c r="F34" s="205">
        <f t="shared" si="13"/>
        <v>41700</v>
      </c>
      <c r="G34" s="208">
        <f t="shared" si="13"/>
        <v>43200</v>
      </c>
      <c r="H34" s="208">
        <f t="shared" si="13"/>
        <v>43200</v>
      </c>
      <c r="I34" s="208">
        <f t="shared" si="13"/>
        <v>43200</v>
      </c>
      <c r="J34" s="15">
        <f t="shared" si="13"/>
        <v>43200</v>
      </c>
      <c r="K34" s="160"/>
    </row>
    <row r="35" spans="1:11" s="25" customFormat="1" ht="15" customHeight="1">
      <c r="A35" s="104"/>
      <c r="B35" s="24"/>
      <c r="C35" s="228"/>
      <c r="D35" s="151"/>
      <c r="E35" s="151"/>
      <c r="F35" s="172"/>
      <c r="G35" s="209"/>
      <c r="H35" s="209"/>
      <c r="I35" s="209"/>
      <c r="J35" s="26"/>
      <c r="K35" s="71"/>
    </row>
    <row r="36" spans="1:11" s="7" customFormat="1" ht="15" customHeight="1">
      <c r="A36" s="165"/>
      <c r="B36" s="247" t="s">
        <v>485</v>
      </c>
      <c r="C36" s="248"/>
      <c r="D36" s="248"/>
      <c r="E36" s="248"/>
      <c r="F36" s="248"/>
      <c r="G36" s="248"/>
      <c r="H36" s="248"/>
      <c r="I36" s="248"/>
      <c r="J36" s="248"/>
      <c r="K36" s="249"/>
    </row>
    <row r="37" spans="1:11" s="39" customFormat="1" ht="33" customHeight="1">
      <c r="A37" s="103">
        <v>16</v>
      </c>
      <c r="B37" s="43" t="s">
        <v>499</v>
      </c>
      <c r="C37" s="211">
        <f>SUM(C38:C41)</f>
        <v>2028616.591</v>
      </c>
      <c r="D37" s="115">
        <f>SUM(D38:D41)</f>
        <v>286746.642</v>
      </c>
      <c r="E37" s="115">
        <f aca="true" t="shared" si="14" ref="E37:J37">SUM(E38:E41)</f>
        <v>313283.712</v>
      </c>
      <c r="F37" s="182">
        <f t="shared" si="14"/>
        <v>268895.537</v>
      </c>
      <c r="G37" s="210">
        <f t="shared" si="14"/>
        <v>289016.7</v>
      </c>
      <c r="H37" s="210">
        <f t="shared" si="14"/>
        <v>284899</v>
      </c>
      <c r="I37" s="210">
        <f t="shared" si="14"/>
        <v>285899</v>
      </c>
      <c r="J37" s="16">
        <f t="shared" si="14"/>
        <v>299876</v>
      </c>
      <c r="K37" s="72"/>
    </row>
    <row r="38" spans="1:11" s="8" customFormat="1" ht="15" customHeight="1">
      <c r="A38" s="103">
        <v>17</v>
      </c>
      <c r="B38" s="10" t="s">
        <v>492</v>
      </c>
      <c r="C38" s="211">
        <f>SUM(D38:J38)</f>
        <v>728482.491</v>
      </c>
      <c r="D38" s="116">
        <f aca="true" t="shared" si="15" ref="D38:J38">SUM(D44+D75)</f>
        <v>108807.342</v>
      </c>
      <c r="E38" s="116">
        <f t="shared" si="15"/>
        <v>144100.712</v>
      </c>
      <c r="F38" s="205">
        <f t="shared" si="15"/>
        <v>79206.73700000001</v>
      </c>
      <c r="G38" s="208">
        <f t="shared" si="15"/>
        <v>91947.7</v>
      </c>
      <c r="H38" s="208">
        <f t="shared" si="15"/>
        <v>87830</v>
      </c>
      <c r="I38" s="208">
        <f t="shared" si="15"/>
        <v>88830</v>
      </c>
      <c r="J38" s="15">
        <f t="shared" si="15"/>
        <v>127760</v>
      </c>
      <c r="K38" s="73"/>
    </row>
    <row r="39" spans="1:11" s="8" customFormat="1" ht="15" customHeight="1">
      <c r="A39" s="103">
        <v>18</v>
      </c>
      <c r="B39" s="10" t="s">
        <v>493</v>
      </c>
      <c r="C39" s="211">
        <f>SUM(D39:J39)</f>
        <v>12802.1</v>
      </c>
      <c r="D39" s="111">
        <f>SUM(D45)</f>
        <v>12802.1</v>
      </c>
      <c r="E39" s="116">
        <f aca="true" t="shared" si="16" ref="E39:J39">SUM(E45)</f>
        <v>0</v>
      </c>
      <c r="F39" s="205">
        <f t="shared" si="16"/>
        <v>0</v>
      </c>
      <c r="G39" s="208">
        <f t="shared" si="16"/>
        <v>0</v>
      </c>
      <c r="H39" s="208">
        <f t="shared" si="16"/>
        <v>0</v>
      </c>
      <c r="I39" s="208">
        <f t="shared" si="16"/>
        <v>0</v>
      </c>
      <c r="J39" s="15">
        <f t="shared" si="16"/>
        <v>0</v>
      </c>
      <c r="K39" s="73"/>
    </row>
    <row r="40" spans="1:11" s="8" customFormat="1" ht="15" customHeight="1">
      <c r="A40" s="103">
        <v>19</v>
      </c>
      <c r="B40" s="10" t="s">
        <v>494</v>
      </c>
      <c r="C40" s="211">
        <f>SUM(D40:J40)</f>
        <v>1018332</v>
      </c>
      <c r="D40" s="116">
        <f aca="true" t="shared" si="17" ref="D40:J40">SUM(D46+D77)</f>
        <v>134137.2</v>
      </c>
      <c r="E40" s="116">
        <f t="shared" si="17"/>
        <v>131183</v>
      </c>
      <c r="F40" s="205">
        <f t="shared" si="17"/>
        <v>149688.8</v>
      </c>
      <c r="G40" s="208">
        <f t="shared" si="17"/>
        <v>157069</v>
      </c>
      <c r="H40" s="208">
        <f t="shared" si="17"/>
        <v>157069</v>
      </c>
      <c r="I40" s="208">
        <f t="shared" si="17"/>
        <v>157069</v>
      </c>
      <c r="J40" s="15">
        <f t="shared" si="17"/>
        <v>132116</v>
      </c>
      <c r="K40" s="73"/>
    </row>
    <row r="41" spans="1:11" s="8" customFormat="1" ht="15" customHeight="1">
      <c r="A41" s="103">
        <v>20</v>
      </c>
      <c r="B41" s="10" t="s">
        <v>495</v>
      </c>
      <c r="C41" s="211">
        <f>SUM(D41:J41)</f>
        <v>269000</v>
      </c>
      <c r="D41" s="116">
        <f>SUM(D78)</f>
        <v>31000</v>
      </c>
      <c r="E41" s="116">
        <f aca="true" t="shared" si="18" ref="E41:J41">SUM(E78)</f>
        <v>38000</v>
      </c>
      <c r="F41" s="205">
        <f t="shared" si="18"/>
        <v>40000</v>
      </c>
      <c r="G41" s="208">
        <f t="shared" si="18"/>
        <v>40000</v>
      </c>
      <c r="H41" s="208">
        <f t="shared" si="18"/>
        <v>40000</v>
      </c>
      <c r="I41" s="208">
        <f t="shared" si="18"/>
        <v>40000</v>
      </c>
      <c r="J41" s="15">
        <f t="shared" si="18"/>
        <v>40000</v>
      </c>
      <c r="K41" s="73"/>
    </row>
    <row r="42" spans="1:11" s="8" customFormat="1" ht="15" customHeight="1">
      <c r="A42" s="166"/>
      <c r="B42" s="241" t="s">
        <v>496</v>
      </c>
      <c r="C42" s="242"/>
      <c r="D42" s="242"/>
      <c r="E42" s="242"/>
      <c r="F42" s="242"/>
      <c r="G42" s="242"/>
      <c r="H42" s="242"/>
      <c r="I42" s="242"/>
      <c r="J42" s="242"/>
      <c r="K42" s="243"/>
    </row>
    <row r="43" spans="1:12" s="39" customFormat="1" ht="31.5" customHeight="1">
      <c r="A43" s="103">
        <v>21</v>
      </c>
      <c r="B43" s="43" t="s">
        <v>240</v>
      </c>
      <c r="C43" s="211">
        <f>SUM(D43:J43)</f>
        <v>57099.123</v>
      </c>
      <c r="D43" s="115">
        <f>SUM(D44:D47)</f>
        <v>49099.123</v>
      </c>
      <c r="E43" s="115">
        <f aca="true" t="shared" si="19" ref="E43:J43">SUM(E44:E47)</f>
        <v>0</v>
      </c>
      <c r="F43" s="182">
        <f t="shared" si="19"/>
        <v>0</v>
      </c>
      <c r="G43" s="210">
        <f t="shared" si="19"/>
        <v>8000</v>
      </c>
      <c r="H43" s="210">
        <f t="shared" si="19"/>
        <v>0</v>
      </c>
      <c r="I43" s="210">
        <f t="shared" si="19"/>
        <v>0</v>
      </c>
      <c r="J43" s="16">
        <f t="shared" si="19"/>
        <v>0</v>
      </c>
      <c r="K43" s="74"/>
      <c r="L43" s="113"/>
    </row>
    <row r="44" spans="1:11" s="8" customFormat="1" ht="15" customHeight="1">
      <c r="A44" s="103">
        <v>22</v>
      </c>
      <c r="B44" s="10" t="s">
        <v>492</v>
      </c>
      <c r="C44" s="211">
        <f>SUM(D44:J44)</f>
        <v>9737.823</v>
      </c>
      <c r="D44" s="116">
        <f aca="true" t="shared" si="20" ref="D44:J44">SUM(D50+D68)</f>
        <v>1737.823</v>
      </c>
      <c r="E44" s="116">
        <f t="shared" si="20"/>
        <v>0</v>
      </c>
      <c r="F44" s="205">
        <f t="shared" si="20"/>
        <v>0</v>
      </c>
      <c r="G44" s="208">
        <f t="shared" si="20"/>
        <v>8000</v>
      </c>
      <c r="H44" s="208">
        <f t="shared" si="20"/>
        <v>0</v>
      </c>
      <c r="I44" s="208">
        <f t="shared" si="20"/>
        <v>0</v>
      </c>
      <c r="J44" s="15">
        <f t="shared" si="20"/>
        <v>0</v>
      </c>
      <c r="K44" s="73"/>
    </row>
    <row r="45" spans="1:11" s="8" customFormat="1" ht="15" customHeight="1">
      <c r="A45" s="103">
        <v>23</v>
      </c>
      <c r="B45" s="10" t="s">
        <v>493</v>
      </c>
      <c r="C45" s="211">
        <f>SUM(D45:J45)</f>
        <v>12802.1</v>
      </c>
      <c r="D45" s="111">
        <f>SUM(D51)</f>
        <v>12802.1</v>
      </c>
      <c r="E45" s="116">
        <f aca="true" t="shared" si="21" ref="E45:J45">SUM(E51)</f>
        <v>0</v>
      </c>
      <c r="F45" s="205">
        <f t="shared" si="21"/>
        <v>0</v>
      </c>
      <c r="G45" s="208">
        <f t="shared" si="21"/>
        <v>0</v>
      </c>
      <c r="H45" s="208">
        <f t="shared" si="21"/>
        <v>0</v>
      </c>
      <c r="I45" s="208">
        <f t="shared" si="21"/>
        <v>0</v>
      </c>
      <c r="J45" s="15">
        <f t="shared" si="21"/>
        <v>0</v>
      </c>
      <c r="K45" s="73"/>
    </row>
    <row r="46" spans="1:11" s="8" customFormat="1" ht="15" customHeight="1">
      <c r="A46" s="103">
        <v>24</v>
      </c>
      <c r="B46" s="10" t="s">
        <v>494</v>
      </c>
      <c r="C46" s="211">
        <f>SUM(D46:J46)</f>
        <v>34559.2</v>
      </c>
      <c r="D46" s="116">
        <f aca="true" t="shared" si="22" ref="D46:J46">SUM(D52+D70)</f>
        <v>34559.2</v>
      </c>
      <c r="E46" s="116">
        <f t="shared" si="22"/>
        <v>0</v>
      </c>
      <c r="F46" s="205">
        <f t="shared" si="22"/>
        <v>0</v>
      </c>
      <c r="G46" s="208">
        <f t="shared" si="22"/>
        <v>0</v>
      </c>
      <c r="H46" s="208">
        <f t="shared" si="22"/>
        <v>0</v>
      </c>
      <c r="I46" s="208">
        <f t="shared" si="22"/>
        <v>0</v>
      </c>
      <c r="J46" s="15">
        <f t="shared" si="22"/>
        <v>0</v>
      </c>
      <c r="K46" s="73"/>
    </row>
    <row r="47" spans="1:11" s="8" customFormat="1" ht="15" customHeight="1">
      <c r="A47" s="103">
        <v>25</v>
      </c>
      <c r="B47" s="10" t="s">
        <v>495</v>
      </c>
      <c r="C47" s="211">
        <f>SUM(D47:J47)</f>
        <v>0</v>
      </c>
      <c r="D47" s="116"/>
      <c r="E47" s="15"/>
      <c r="F47" s="205"/>
      <c r="G47" s="208"/>
      <c r="H47" s="208"/>
      <c r="I47" s="208"/>
      <c r="J47" s="15"/>
      <c r="K47" s="73"/>
    </row>
    <row r="48" spans="1:11" s="8" customFormat="1" ht="15" customHeight="1">
      <c r="A48" s="167"/>
      <c r="B48" s="250" t="s">
        <v>497</v>
      </c>
      <c r="C48" s="251"/>
      <c r="D48" s="251"/>
      <c r="E48" s="251"/>
      <c r="F48" s="251"/>
      <c r="G48" s="251"/>
      <c r="H48" s="251"/>
      <c r="I48" s="251"/>
      <c r="J48" s="251"/>
      <c r="K48" s="252"/>
    </row>
    <row r="49" spans="1:11" s="39" customFormat="1" ht="45.75" customHeight="1">
      <c r="A49" s="103">
        <v>26</v>
      </c>
      <c r="B49" s="43" t="s">
        <v>241</v>
      </c>
      <c r="C49" s="211">
        <f>SUM(C50:C53)</f>
        <v>57099.123</v>
      </c>
      <c r="D49" s="97">
        <f aca="true" t="shared" si="23" ref="D49:J49">SUM(D50:D53)</f>
        <v>49099.123</v>
      </c>
      <c r="E49" s="97">
        <f t="shared" si="23"/>
        <v>0</v>
      </c>
      <c r="F49" s="217">
        <f t="shared" si="23"/>
        <v>0</v>
      </c>
      <c r="G49" s="211">
        <f t="shared" si="23"/>
        <v>8000</v>
      </c>
      <c r="H49" s="211">
        <f t="shared" si="23"/>
        <v>0</v>
      </c>
      <c r="I49" s="211">
        <f t="shared" si="23"/>
        <v>0</v>
      </c>
      <c r="J49" s="18">
        <f t="shared" si="23"/>
        <v>0</v>
      </c>
      <c r="K49" s="73"/>
    </row>
    <row r="50" spans="1:11" s="8" customFormat="1" ht="15" customHeight="1">
      <c r="A50" s="103">
        <v>27</v>
      </c>
      <c r="B50" s="10" t="s">
        <v>492</v>
      </c>
      <c r="C50" s="211">
        <f>SUM(D50:J50)</f>
        <v>9737.823</v>
      </c>
      <c r="D50" s="152">
        <f aca="true" t="shared" si="24" ref="D50:J50">SUM(D56+D62)</f>
        <v>1737.823</v>
      </c>
      <c r="E50" s="152">
        <f t="shared" si="24"/>
        <v>0</v>
      </c>
      <c r="F50" s="212">
        <f t="shared" si="24"/>
        <v>0</v>
      </c>
      <c r="G50" s="212">
        <f t="shared" si="24"/>
        <v>8000</v>
      </c>
      <c r="H50" s="212">
        <f t="shared" si="24"/>
        <v>0</v>
      </c>
      <c r="I50" s="212">
        <f t="shared" si="24"/>
        <v>0</v>
      </c>
      <c r="J50" s="17">
        <f t="shared" si="24"/>
        <v>0</v>
      </c>
      <c r="K50" s="73"/>
    </row>
    <row r="51" spans="1:11" s="8" customFormat="1" ht="15" customHeight="1">
      <c r="A51" s="103">
        <v>28</v>
      </c>
      <c r="B51" s="10" t="s">
        <v>493</v>
      </c>
      <c r="C51" s="211">
        <f>SUM(D51:J51)</f>
        <v>12802.1</v>
      </c>
      <c r="D51" s="152">
        <f>SUM(D57)</f>
        <v>12802.1</v>
      </c>
      <c r="E51" s="152">
        <f>SUM(E57)</f>
        <v>0</v>
      </c>
      <c r="F51" s="229"/>
      <c r="G51" s="212"/>
      <c r="H51" s="212"/>
      <c r="I51" s="212"/>
      <c r="J51" s="17"/>
      <c r="K51" s="73"/>
    </row>
    <row r="52" spans="1:11" s="8" customFormat="1" ht="15" customHeight="1">
      <c r="A52" s="103">
        <v>29</v>
      </c>
      <c r="B52" s="10" t="s">
        <v>494</v>
      </c>
      <c r="C52" s="211">
        <f>SUM(D52:J52)</f>
        <v>34559.2</v>
      </c>
      <c r="D52" s="152">
        <f>SUM(D58)</f>
        <v>34559.2</v>
      </c>
      <c r="E52" s="152">
        <f>SUM(E58)</f>
        <v>0</v>
      </c>
      <c r="F52" s="229"/>
      <c r="G52" s="212"/>
      <c r="H52" s="212"/>
      <c r="I52" s="212"/>
      <c r="J52" s="17"/>
      <c r="K52" s="73"/>
    </row>
    <row r="53" spans="1:11" s="8" customFormat="1" ht="15" customHeight="1">
      <c r="A53" s="103">
        <v>30</v>
      </c>
      <c r="B53" s="10" t="s">
        <v>495</v>
      </c>
      <c r="C53" s="211">
        <f>SUM(D53:J53)</f>
        <v>0</v>
      </c>
      <c r="D53" s="111">
        <v>0</v>
      </c>
      <c r="E53" s="116">
        <v>0</v>
      </c>
      <c r="F53" s="205"/>
      <c r="G53" s="208"/>
      <c r="H53" s="208"/>
      <c r="I53" s="208"/>
      <c r="J53" s="15"/>
      <c r="K53" s="73"/>
    </row>
    <row r="54" spans="1:11" s="8" customFormat="1" ht="15" customHeight="1">
      <c r="A54" s="103"/>
      <c r="B54" s="10"/>
      <c r="C54" s="211"/>
      <c r="D54" s="158"/>
      <c r="E54" s="152"/>
      <c r="F54" s="229"/>
      <c r="G54" s="212"/>
      <c r="H54" s="212"/>
      <c r="I54" s="212"/>
      <c r="J54" s="17"/>
      <c r="K54" s="73"/>
    </row>
    <row r="55" spans="1:11" s="8" customFormat="1" ht="50.25" customHeight="1">
      <c r="A55" s="103">
        <v>31</v>
      </c>
      <c r="B55" s="43" t="s">
        <v>245</v>
      </c>
      <c r="C55" s="211">
        <f>SUM(C56:C59)</f>
        <v>49099.123</v>
      </c>
      <c r="D55" s="97">
        <f aca="true" t="shared" si="25" ref="D55:J55">SUM(D56:D59)</f>
        <v>49099.123</v>
      </c>
      <c r="E55" s="97">
        <f t="shared" si="25"/>
        <v>0</v>
      </c>
      <c r="F55" s="217">
        <f t="shared" si="25"/>
        <v>0</v>
      </c>
      <c r="G55" s="211">
        <f t="shared" si="25"/>
        <v>0</v>
      </c>
      <c r="H55" s="211">
        <f t="shared" si="25"/>
        <v>0</v>
      </c>
      <c r="I55" s="211">
        <f t="shared" si="25"/>
        <v>0</v>
      </c>
      <c r="J55" s="18">
        <f t="shared" si="25"/>
        <v>0</v>
      </c>
      <c r="K55" s="73" t="s">
        <v>360</v>
      </c>
    </row>
    <row r="56" spans="1:11" s="8" customFormat="1" ht="15" customHeight="1">
      <c r="A56" s="103">
        <v>32</v>
      </c>
      <c r="B56" s="10" t="s">
        <v>492</v>
      </c>
      <c r="C56" s="211">
        <f>SUM(D56:J56)</f>
        <v>1737.823</v>
      </c>
      <c r="D56" s="111">
        <v>1737.823</v>
      </c>
      <c r="E56" s="116"/>
      <c r="F56" s="205"/>
      <c r="G56" s="208"/>
      <c r="H56" s="208"/>
      <c r="I56" s="208"/>
      <c r="J56" s="15"/>
      <c r="K56" s="73"/>
    </row>
    <row r="57" spans="1:11" s="8" customFormat="1" ht="15" customHeight="1">
      <c r="A57" s="103">
        <v>33</v>
      </c>
      <c r="B57" s="10" t="s">
        <v>493</v>
      </c>
      <c r="C57" s="211">
        <f>SUM(D57:J57)</f>
        <v>12802.1</v>
      </c>
      <c r="D57" s="111">
        <v>12802.1</v>
      </c>
      <c r="E57" s="116"/>
      <c r="F57" s="205"/>
      <c r="G57" s="208"/>
      <c r="H57" s="208"/>
      <c r="I57" s="208"/>
      <c r="J57" s="15"/>
      <c r="K57" s="73"/>
    </row>
    <row r="58" spans="1:11" s="8" customFormat="1" ht="15" customHeight="1">
      <c r="A58" s="103">
        <v>34</v>
      </c>
      <c r="B58" s="10" t="s">
        <v>494</v>
      </c>
      <c r="C58" s="211">
        <f>SUM(D58:J58)</f>
        <v>34559.2</v>
      </c>
      <c r="D58" s="111">
        <v>34559.2</v>
      </c>
      <c r="E58" s="116"/>
      <c r="F58" s="205"/>
      <c r="G58" s="208"/>
      <c r="H58" s="208"/>
      <c r="I58" s="208"/>
      <c r="J58" s="15"/>
      <c r="K58" s="73"/>
    </row>
    <row r="59" spans="1:11" s="8" customFormat="1" ht="15" customHeight="1">
      <c r="A59" s="103">
        <v>35</v>
      </c>
      <c r="B59" s="10" t="s">
        <v>495</v>
      </c>
      <c r="C59" s="211">
        <f>SUM(D59:J59)</f>
        <v>0</v>
      </c>
      <c r="D59" s="111">
        <v>0</v>
      </c>
      <c r="E59" s="116"/>
      <c r="F59" s="205"/>
      <c r="G59" s="208"/>
      <c r="H59" s="208"/>
      <c r="I59" s="208"/>
      <c r="J59" s="15"/>
      <c r="K59" s="73"/>
    </row>
    <row r="60" spans="1:11" s="8" customFormat="1" ht="15" customHeight="1">
      <c r="A60" s="103"/>
      <c r="B60" s="10"/>
      <c r="C60" s="211"/>
      <c r="D60" s="111"/>
      <c r="E60" s="152"/>
      <c r="F60" s="229"/>
      <c r="G60" s="212"/>
      <c r="H60" s="212"/>
      <c r="I60" s="212"/>
      <c r="J60" s="17"/>
      <c r="K60" s="73"/>
    </row>
    <row r="61" spans="1:11" s="8" customFormat="1" ht="50.25" customHeight="1">
      <c r="A61" s="103" t="s">
        <v>414</v>
      </c>
      <c r="B61" s="46" t="s">
        <v>449</v>
      </c>
      <c r="C61" s="211">
        <f>SUM(D61:J61)</f>
        <v>8000</v>
      </c>
      <c r="D61" s="97">
        <f>SUM(D62)</f>
        <v>0</v>
      </c>
      <c r="E61" s="97">
        <f aca="true" t="shared" si="26" ref="E61:J61">SUM(E62)</f>
        <v>0</v>
      </c>
      <c r="F61" s="211">
        <f>SUM(F62)</f>
        <v>0</v>
      </c>
      <c r="G61" s="211">
        <f t="shared" si="26"/>
        <v>8000</v>
      </c>
      <c r="H61" s="211">
        <f t="shared" si="26"/>
        <v>0</v>
      </c>
      <c r="I61" s="211">
        <f t="shared" si="26"/>
        <v>0</v>
      </c>
      <c r="J61" s="18">
        <f t="shared" si="26"/>
        <v>0</v>
      </c>
      <c r="K61" s="73" t="s">
        <v>452</v>
      </c>
    </row>
    <row r="62" spans="1:11" s="8" customFormat="1" ht="15" customHeight="1">
      <c r="A62" s="103" t="s">
        <v>415</v>
      </c>
      <c r="B62" s="32" t="s">
        <v>492</v>
      </c>
      <c r="C62" s="211">
        <f>SUM(D62:J62)</f>
        <v>8000</v>
      </c>
      <c r="D62" s="111">
        <f>SUM(D64)</f>
        <v>0</v>
      </c>
      <c r="E62" s="111">
        <f aca="true" t="shared" si="27" ref="E62:J62">SUM(E64)</f>
        <v>0</v>
      </c>
      <c r="F62" s="205">
        <f t="shared" si="27"/>
        <v>0</v>
      </c>
      <c r="G62" s="205">
        <f t="shared" si="27"/>
        <v>8000</v>
      </c>
      <c r="H62" s="205">
        <f t="shared" si="27"/>
        <v>0</v>
      </c>
      <c r="I62" s="205">
        <f t="shared" si="27"/>
        <v>0</v>
      </c>
      <c r="J62" s="52">
        <f t="shared" si="27"/>
        <v>0</v>
      </c>
      <c r="K62" s="73"/>
    </row>
    <row r="63" spans="1:11" s="8" customFormat="1" ht="15" customHeight="1">
      <c r="A63" s="103"/>
      <c r="B63" s="32" t="s">
        <v>504</v>
      </c>
      <c r="C63" s="211"/>
      <c r="D63" s="111"/>
      <c r="E63" s="116"/>
      <c r="F63" s="205"/>
      <c r="G63" s="208"/>
      <c r="H63" s="208"/>
      <c r="I63" s="208"/>
      <c r="J63" s="15"/>
      <c r="K63" s="73"/>
    </row>
    <row r="64" spans="1:11" s="8" customFormat="1" ht="15" customHeight="1">
      <c r="A64" s="103" t="s">
        <v>416</v>
      </c>
      <c r="B64" s="32" t="s">
        <v>461</v>
      </c>
      <c r="C64" s="211">
        <f>SUM(D64:J64)</f>
        <v>8000</v>
      </c>
      <c r="D64" s="111"/>
      <c r="E64" s="116"/>
      <c r="F64" s="205"/>
      <c r="G64" s="208">
        <f>8000</f>
        <v>8000</v>
      </c>
      <c r="H64" s="208"/>
      <c r="I64" s="208"/>
      <c r="J64" s="15"/>
      <c r="K64" s="73"/>
    </row>
    <row r="65" spans="1:11" s="8" customFormat="1" ht="15" customHeight="1">
      <c r="A65" s="103"/>
      <c r="B65" s="10"/>
      <c r="C65" s="211"/>
      <c r="D65" s="111"/>
      <c r="E65" s="152"/>
      <c r="F65" s="229"/>
      <c r="G65" s="212"/>
      <c r="H65" s="212"/>
      <c r="I65" s="212"/>
      <c r="J65" s="17"/>
      <c r="K65" s="73"/>
    </row>
    <row r="66" spans="1:11" s="8" customFormat="1" ht="15" customHeight="1">
      <c r="A66" s="167"/>
      <c r="B66" s="250" t="s">
        <v>508</v>
      </c>
      <c r="C66" s="251"/>
      <c r="D66" s="251"/>
      <c r="E66" s="251"/>
      <c r="F66" s="251"/>
      <c r="G66" s="251"/>
      <c r="H66" s="251"/>
      <c r="I66" s="251"/>
      <c r="J66" s="251"/>
      <c r="K66" s="252"/>
    </row>
    <row r="67" spans="1:11" s="41" customFormat="1" ht="31.5">
      <c r="A67" s="99" t="s">
        <v>417</v>
      </c>
      <c r="B67" s="46" t="s">
        <v>242</v>
      </c>
      <c r="C67" s="217">
        <f>SUM(C68:C71)</f>
        <v>0</v>
      </c>
      <c r="D67" s="114">
        <f aca="true" t="shared" si="28" ref="D67:J67">SUM(D69:D71)</f>
        <v>0</v>
      </c>
      <c r="E67" s="114">
        <f>SUM(E68:E71)</f>
        <v>0</v>
      </c>
      <c r="F67" s="182">
        <f>SUM(F68:F71)</f>
        <v>0</v>
      </c>
      <c r="G67" s="182">
        <f t="shared" si="28"/>
        <v>0</v>
      </c>
      <c r="H67" s="182">
        <f t="shared" si="28"/>
        <v>0</v>
      </c>
      <c r="I67" s="182">
        <f t="shared" si="28"/>
        <v>0</v>
      </c>
      <c r="J67" s="35">
        <f t="shared" si="28"/>
        <v>0</v>
      </c>
      <c r="K67" s="76"/>
    </row>
    <row r="68" spans="1:11" s="14" customFormat="1" ht="15" customHeight="1">
      <c r="A68" s="99" t="s">
        <v>418</v>
      </c>
      <c r="B68" s="10" t="s">
        <v>492</v>
      </c>
      <c r="C68" s="217">
        <f>SUM(D68:J68)</f>
        <v>0</v>
      </c>
      <c r="D68" s="121"/>
      <c r="E68" s="121"/>
      <c r="F68" s="213"/>
      <c r="G68" s="213"/>
      <c r="H68" s="213"/>
      <c r="I68" s="213"/>
      <c r="J68" s="29"/>
      <c r="K68" s="77"/>
    </row>
    <row r="69" spans="1:11" s="31" customFormat="1" ht="15" customHeight="1">
      <c r="A69" s="99" t="s">
        <v>419</v>
      </c>
      <c r="B69" s="10" t="s">
        <v>493</v>
      </c>
      <c r="C69" s="217">
        <f>SUM(D69:J69)</f>
        <v>0</v>
      </c>
      <c r="D69" s="95"/>
      <c r="E69" s="153"/>
      <c r="F69" s="218"/>
      <c r="G69" s="218"/>
      <c r="H69" s="218"/>
      <c r="I69" s="218"/>
      <c r="J69" s="30"/>
      <c r="K69" s="78"/>
    </row>
    <row r="70" spans="1:11" s="14" customFormat="1" ht="15" customHeight="1">
      <c r="A70" s="99" t="s">
        <v>420</v>
      </c>
      <c r="B70" s="10" t="s">
        <v>494</v>
      </c>
      <c r="C70" s="217">
        <f>SUM(D70:J70)</f>
        <v>0</v>
      </c>
      <c r="D70" s="121"/>
      <c r="E70" s="121"/>
      <c r="F70" s="213"/>
      <c r="G70" s="213"/>
      <c r="H70" s="213"/>
      <c r="I70" s="213"/>
      <c r="J70" s="29"/>
      <c r="K70" s="77"/>
    </row>
    <row r="71" spans="1:11" s="14" customFormat="1" ht="15" customHeight="1">
      <c r="A71" s="99" t="s">
        <v>421</v>
      </c>
      <c r="B71" s="10" t="s">
        <v>495</v>
      </c>
      <c r="C71" s="217">
        <f>SUM(D71:J71)</f>
        <v>0</v>
      </c>
      <c r="D71" s="121"/>
      <c r="E71" s="121"/>
      <c r="F71" s="213"/>
      <c r="G71" s="213"/>
      <c r="H71" s="213"/>
      <c r="I71" s="213"/>
      <c r="J71" s="29"/>
      <c r="K71" s="77"/>
    </row>
    <row r="72" spans="1:11" s="14" customFormat="1" ht="15" customHeight="1">
      <c r="A72" s="102"/>
      <c r="B72" s="10"/>
      <c r="C72" s="182"/>
      <c r="D72" s="121"/>
      <c r="E72" s="121"/>
      <c r="F72" s="213"/>
      <c r="G72" s="213"/>
      <c r="H72" s="213"/>
      <c r="I72" s="213"/>
      <c r="J72" s="29"/>
      <c r="K72" s="77"/>
    </row>
    <row r="73" spans="1:11" s="8" customFormat="1" ht="15" customHeight="1">
      <c r="A73" s="166"/>
      <c r="B73" s="241" t="s">
        <v>500</v>
      </c>
      <c r="C73" s="242"/>
      <c r="D73" s="242"/>
      <c r="E73" s="242"/>
      <c r="F73" s="242"/>
      <c r="G73" s="242"/>
      <c r="H73" s="242"/>
      <c r="I73" s="242"/>
      <c r="J73" s="242"/>
      <c r="K73" s="243"/>
    </row>
    <row r="74" spans="1:11" s="39" customFormat="1" ht="21.75" customHeight="1">
      <c r="A74" s="103" t="s">
        <v>422</v>
      </c>
      <c r="B74" s="43" t="s">
        <v>501</v>
      </c>
      <c r="C74" s="211">
        <f>SUM(C75:C78)</f>
        <v>1971517.468</v>
      </c>
      <c r="D74" s="97">
        <f aca="true" t="shared" si="29" ref="D74:J74">SUM(D75:D78)</f>
        <v>237647.519</v>
      </c>
      <c r="E74" s="120">
        <f t="shared" si="29"/>
        <v>313283.712</v>
      </c>
      <c r="F74" s="217">
        <f t="shared" si="29"/>
        <v>268895.537</v>
      </c>
      <c r="G74" s="211">
        <f t="shared" si="29"/>
        <v>281016.7</v>
      </c>
      <c r="H74" s="211">
        <f t="shared" si="29"/>
        <v>284899</v>
      </c>
      <c r="I74" s="211">
        <f t="shared" si="29"/>
        <v>285899</v>
      </c>
      <c r="J74" s="18">
        <f t="shared" si="29"/>
        <v>299876</v>
      </c>
      <c r="K74" s="72"/>
    </row>
    <row r="75" spans="1:11" s="8" customFormat="1" ht="15" customHeight="1">
      <c r="A75" s="103" t="s">
        <v>423</v>
      </c>
      <c r="B75" s="10" t="s">
        <v>492</v>
      </c>
      <c r="C75" s="211">
        <f>SUM(D75:J75)</f>
        <v>718744.6680000001</v>
      </c>
      <c r="D75" s="95">
        <f aca="true" t="shared" si="30" ref="D75:J75">SUM(D81+D92+D119+D124+D127)</f>
        <v>107069.519</v>
      </c>
      <c r="E75" s="95">
        <f t="shared" si="30"/>
        <v>144100.712</v>
      </c>
      <c r="F75" s="214">
        <f t="shared" si="30"/>
        <v>79206.73700000001</v>
      </c>
      <c r="G75" s="214">
        <f t="shared" si="30"/>
        <v>83947.7</v>
      </c>
      <c r="H75" s="214">
        <f t="shared" si="30"/>
        <v>87830</v>
      </c>
      <c r="I75" s="214">
        <f t="shared" si="30"/>
        <v>88830</v>
      </c>
      <c r="J75" s="34">
        <f t="shared" si="30"/>
        <v>127760</v>
      </c>
      <c r="K75" s="73"/>
    </row>
    <row r="76" spans="1:11" s="8" customFormat="1" ht="15" customHeight="1">
      <c r="A76" s="103" t="s">
        <v>424</v>
      </c>
      <c r="B76" s="10" t="s">
        <v>493</v>
      </c>
      <c r="C76" s="211">
        <f>SUM(D76:J76)</f>
        <v>0</v>
      </c>
      <c r="D76" s="95"/>
      <c r="E76" s="95"/>
      <c r="F76" s="214"/>
      <c r="G76" s="215"/>
      <c r="H76" s="215"/>
      <c r="I76" s="215"/>
      <c r="J76" s="22"/>
      <c r="K76" s="73"/>
    </row>
    <row r="77" spans="1:11" s="8" customFormat="1" ht="15" customHeight="1">
      <c r="A77" s="103" t="s">
        <v>425</v>
      </c>
      <c r="B77" s="10" t="s">
        <v>494</v>
      </c>
      <c r="C77" s="211">
        <f>SUM(D77:J77)</f>
        <v>983772.8</v>
      </c>
      <c r="D77" s="118">
        <f aca="true" t="shared" si="31" ref="D77:J77">SUM(D93+D116+D120+D128)</f>
        <v>99578</v>
      </c>
      <c r="E77" s="96">
        <f t="shared" si="31"/>
        <v>131183</v>
      </c>
      <c r="F77" s="221">
        <f t="shared" si="31"/>
        <v>149688.8</v>
      </c>
      <c r="G77" s="216">
        <f t="shared" si="31"/>
        <v>157069</v>
      </c>
      <c r="H77" s="216">
        <f t="shared" si="31"/>
        <v>157069</v>
      </c>
      <c r="I77" s="216">
        <f t="shared" si="31"/>
        <v>157069</v>
      </c>
      <c r="J77" s="21">
        <f t="shared" si="31"/>
        <v>132116</v>
      </c>
      <c r="K77" s="79"/>
    </row>
    <row r="78" spans="1:11" s="8" customFormat="1" ht="15" customHeight="1">
      <c r="A78" s="103" t="s">
        <v>426</v>
      </c>
      <c r="B78" s="12" t="s">
        <v>495</v>
      </c>
      <c r="C78" s="211">
        <f>SUM(D78:J78)</f>
        <v>269000</v>
      </c>
      <c r="D78" s="95">
        <f>SUM(D121)</f>
        <v>31000</v>
      </c>
      <c r="E78" s="95">
        <f aca="true" t="shared" si="32" ref="E78:J78">SUM(E121)</f>
        <v>38000</v>
      </c>
      <c r="F78" s="214">
        <f t="shared" si="32"/>
        <v>40000</v>
      </c>
      <c r="G78" s="215">
        <f t="shared" si="32"/>
        <v>40000</v>
      </c>
      <c r="H78" s="215">
        <f t="shared" si="32"/>
        <v>40000</v>
      </c>
      <c r="I78" s="215">
        <f t="shared" si="32"/>
        <v>40000</v>
      </c>
      <c r="J78" s="22">
        <f t="shared" si="32"/>
        <v>40000</v>
      </c>
      <c r="K78" s="73"/>
    </row>
    <row r="79" spans="1:11" s="8" customFormat="1" ht="15" customHeight="1">
      <c r="A79" s="103"/>
      <c r="B79" s="12"/>
      <c r="C79" s="211"/>
      <c r="D79" s="96"/>
      <c r="E79" s="96"/>
      <c r="F79" s="221"/>
      <c r="G79" s="216"/>
      <c r="H79" s="216"/>
      <c r="I79" s="216"/>
      <c r="J79" s="21"/>
      <c r="K79" s="73"/>
    </row>
    <row r="80" spans="1:11" s="41" customFormat="1" ht="50.25" customHeight="1">
      <c r="A80" s="99" t="s">
        <v>427</v>
      </c>
      <c r="B80" s="46" t="s">
        <v>246</v>
      </c>
      <c r="C80" s="217">
        <f>SUM(C81)</f>
        <v>8250</v>
      </c>
      <c r="D80" s="120">
        <f aca="true" t="shared" si="33" ref="D80:J80">SUM(D83:D89)</f>
        <v>0</v>
      </c>
      <c r="E80" s="120">
        <f t="shared" si="33"/>
        <v>250</v>
      </c>
      <c r="F80" s="217">
        <f t="shared" si="33"/>
        <v>0</v>
      </c>
      <c r="G80" s="217">
        <f t="shared" si="33"/>
        <v>0</v>
      </c>
      <c r="H80" s="217">
        <f t="shared" si="33"/>
        <v>2000</v>
      </c>
      <c r="I80" s="217">
        <f>SUM(I83:I89)</f>
        <v>2000</v>
      </c>
      <c r="J80" s="40">
        <f t="shared" si="33"/>
        <v>4000</v>
      </c>
      <c r="K80" s="77" t="s">
        <v>361</v>
      </c>
    </row>
    <row r="81" spans="1:11" s="14" customFormat="1" ht="15" customHeight="1">
      <c r="A81" s="99" t="s">
        <v>428</v>
      </c>
      <c r="B81" s="28" t="s">
        <v>492</v>
      </c>
      <c r="C81" s="217">
        <f>SUM(C83:C89)</f>
        <v>8250</v>
      </c>
      <c r="D81" s="121">
        <f>SUM(D83:D88)</f>
        <v>0</v>
      </c>
      <c r="E81" s="121">
        <f aca="true" t="shared" si="34" ref="E81:J81">SUM(E83:E89)</f>
        <v>250</v>
      </c>
      <c r="F81" s="213">
        <f t="shared" si="34"/>
        <v>0</v>
      </c>
      <c r="G81" s="213">
        <f t="shared" si="34"/>
        <v>0</v>
      </c>
      <c r="H81" s="213">
        <f t="shared" si="34"/>
        <v>2000</v>
      </c>
      <c r="I81" s="213">
        <f>SUM(I83:I89)</f>
        <v>2000</v>
      </c>
      <c r="J81" s="29">
        <f t="shared" si="34"/>
        <v>4000</v>
      </c>
      <c r="K81" s="77"/>
    </row>
    <row r="82" spans="1:11" s="31" customFormat="1" ht="15" customHeight="1">
      <c r="A82" s="99"/>
      <c r="B82" s="32" t="s">
        <v>504</v>
      </c>
      <c r="C82" s="230"/>
      <c r="D82" s="153"/>
      <c r="E82" s="153"/>
      <c r="F82" s="218"/>
      <c r="G82" s="218"/>
      <c r="H82" s="218"/>
      <c r="I82" s="218"/>
      <c r="J82" s="30"/>
      <c r="K82" s="78"/>
    </row>
    <row r="83" spans="1:11" s="14" customFormat="1" ht="15" customHeight="1">
      <c r="A83" s="99" t="s">
        <v>429</v>
      </c>
      <c r="B83" s="32" t="s">
        <v>511</v>
      </c>
      <c r="C83" s="217">
        <f aca="true" t="shared" si="35" ref="C83:C89">SUM(D83:J83)</f>
        <v>2000</v>
      </c>
      <c r="D83" s="121"/>
      <c r="E83" s="121"/>
      <c r="F83" s="213"/>
      <c r="G83" s="213"/>
      <c r="H83" s="213">
        <f>2000</f>
        <v>2000</v>
      </c>
      <c r="I83" s="213"/>
      <c r="J83" s="29"/>
      <c r="K83" s="77"/>
    </row>
    <row r="84" spans="1:11" s="14" customFormat="1" ht="15" customHeight="1">
      <c r="A84" s="99" t="s">
        <v>430</v>
      </c>
      <c r="B84" s="32" t="s">
        <v>342</v>
      </c>
      <c r="C84" s="217">
        <f t="shared" si="35"/>
        <v>2000</v>
      </c>
      <c r="D84" s="121"/>
      <c r="E84" s="121"/>
      <c r="F84" s="213"/>
      <c r="G84" s="213"/>
      <c r="H84" s="213"/>
      <c r="I84" s="213">
        <f>2000</f>
        <v>2000</v>
      </c>
      <c r="J84" s="29"/>
      <c r="K84" s="77"/>
    </row>
    <row r="85" spans="1:11" s="14" customFormat="1" ht="15" customHeight="1">
      <c r="A85" s="99" t="s">
        <v>431</v>
      </c>
      <c r="B85" s="32" t="s">
        <v>35</v>
      </c>
      <c r="C85" s="217">
        <f t="shared" si="35"/>
        <v>0</v>
      </c>
      <c r="D85" s="121"/>
      <c r="E85" s="121"/>
      <c r="F85" s="213"/>
      <c r="G85" s="213"/>
      <c r="H85" s="213"/>
      <c r="I85" s="213"/>
      <c r="J85" s="29"/>
      <c r="K85" s="77"/>
    </row>
    <row r="86" spans="1:11" s="14" customFormat="1" ht="15" customHeight="1">
      <c r="A86" s="99" t="s">
        <v>432</v>
      </c>
      <c r="B86" s="32" t="s">
        <v>36</v>
      </c>
      <c r="C86" s="217">
        <f t="shared" si="35"/>
        <v>2000</v>
      </c>
      <c r="D86" s="121"/>
      <c r="E86" s="121"/>
      <c r="F86" s="213"/>
      <c r="G86" s="213"/>
      <c r="H86" s="213"/>
      <c r="I86" s="213"/>
      <c r="J86" s="29">
        <v>2000</v>
      </c>
      <c r="K86" s="77"/>
    </row>
    <row r="87" spans="1:11" s="14" customFormat="1" ht="15" customHeight="1">
      <c r="A87" s="99" t="s">
        <v>462</v>
      </c>
      <c r="B87" s="32" t="s">
        <v>37</v>
      </c>
      <c r="C87" s="217">
        <f t="shared" si="35"/>
        <v>0</v>
      </c>
      <c r="D87" s="121"/>
      <c r="E87" s="121"/>
      <c r="F87" s="213"/>
      <c r="G87" s="213"/>
      <c r="H87" s="213"/>
      <c r="I87" s="213"/>
      <c r="J87" s="29"/>
      <c r="K87" s="77"/>
    </row>
    <row r="88" spans="1:11" s="14" customFormat="1" ht="15" customHeight="1">
      <c r="A88" s="99" t="s">
        <v>433</v>
      </c>
      <c r="B88" s="32" t="s">
        <v>25</v>
      </c>
      <c r="C88" s="217">
        <f t="shared" si="35"/>
        <v>2000</v>
      </c>
      <c r="D88" s="121"/>
      <c r="E88" s="121"/>
      <c r="F88" s="213"/>
      <c r="G88" s="213"/>
      <c r="H88" s="213"/>
      <c r="I88" s="213"/>
      <c r="J88" s="29">
        <v>2000</v>
      </c>
      <c r="K88" s="77"/>
    </row>
    <row r="89" spans="1:11" s="8" customFormat="1" ht="15" customHeight="1">
      <c r="A89" s="104" t="s">
        <v>434</v>
      </c>
      <c r="B89" s="87" t="s">
        <v>24</v>
      </c>
      <c r="C89" s="217">
        <f t="shared" si="35"/>
        <v>250</v>
      </c>
      <c r="D89" s="116"/>
      <c r="E89" s="111">
        <v>250</v>
      </c>
      <c r="F89" s="205"/>
      <c r="G89" s="208"/>
      <c r="H89" s="208"/>
      <c r="I89" s="208"/>
      <c r="J89" s="15"/>
      <c r="K89" s="73"/>
    </row>
    <row r="90" spans="1:11" s="8" customFormat="1" ht="15" customHeight="1">
      <c r="A90" s="103"/>
      <c r="B90" s="87"/>
      <c r="C90" s="211"/>
      <c r="D90" s="152"/>
      <c r="E90" s="158"/>
      <c r="F90" s="229"/>
      <c r="G90" s="212"/>
      <c r="H90" s="212"/>
      <c r="I90" s="212"/>
      <c r="J90" s="17"/>
      <c r="K90" s="73"/>
    </row>
    <row r="91" spans="1:11" s="39" customFormat="1" ht="96" customHeight="1">
      <c r="A91" s="103" t="s">
        <v>435</v>
      </c>
      <c r="B91" s="43" t="s">
        <v>247</v>
      </c>
      <c r="C91" s="211">
        <f>SUM(C95:C113)</f>
        <v>7935.478999999999</v>
      </c>
      <c r="D91" s="97">
        <f>SUM(D92:D93)</f>
        <v>144</v>
      </c>
      <c r="E91" s="120">
        <f aca="true" t="shared" si="36" ref="E91:J91">SUM(E92:E93)</f>
        <v>2691.479</v>
      </c>
      <c r="F91" s="217">
        <f t="shared" si="36"/>
        <v>100</v>
      </c>
      <c r="G91" s="211">
        <f>SUM(G92:G93)</f>
        <v>0</v>
      </c>
      <c r="H91" s="211">
        <f t="shared" si="36"/>
        <v>1000</v>
      </c>
      <c r="I91" s="211">
        <f t="shared" si="36"/>
        <v>2000</v>
      </c>
      <c r="J91" s="18">
        <f t="shared" si="36"/>
        <v>2000</v>
      </c>
      <c r="K91" s="73" t="s">
        <v>362</v>
      </c>
    </row>
    <row r="92" spans="1:11" s="8" customFormat="1" ht="15" customHeight="1">
      <c r="A92" s="103" t="s">
        <v>436</v>
      </c>
      <c r="B92" s="10" t="s">
        <v>492</v>
      </c>
      <c r="C92" s="211">
        <f>SUM(D92:J92)</f>
        <v>7935.478999999999</v>
      </c>
      <c r="D92" s="152">
        <f>SUM(D95+D96+D97+D98+D99+D100+D101+D102+D103+D104+D105+D107+D108+D109+D110+D111+D112+D113)</f>
        <v>144</v>
      </c>
      <c r="E92" s="152">
        <f aca="true" t="shared" si="37" ref="E92:J92">SUM(E95+E96+E97+E98+E99+E100+E101+E102+E103+E104+E105+E107+E108+E109+E110+E111+E112+E113)</f>
        <v>2691.479</v>
      </c>
      <c r="F92" s="212">
        <f t="shared" si="37"/>
        <v>100</v>
      </c>
      <c r="G92" s="212">
        <f t="shared" si="37"/>
        <v>0</v>
      </c>
      <c r="H92" s="212">
        <f t="shared" si="37"/>
        <v>1000</v>
      </c>
      <c r="I92" s="212">
        <f t="shared" si="37"/>
        <v>2000</v>
      </c>
      <c r="J92" s="17">
        <f t="shared" si="37"/>
        <v>2000</v>
      </c>
      <c r="K92" s="79"/>
    </row>
    <row r="93" spans="1:11" s="8" customFormat="1" ht="15" customHeight="1">
      <c r="A93" s="103" t="s">
        <v>437</v>
      </c>
      <c r="B93" s="10" t="s">
        <v>494</v>
      </c>
      <c r="C93" s="211">
        <f>SUM(D93:J93)</f>
        <v>0</v>
      </c>
      <c r="D93" s="152"/>
      <c r="E93" s="158"/>
      <c r="F93" s="229"/>
      <c r="G93" s="212"/>
      <c r="H93" s="212"/>
      <c r="I93" s="212"/>
      <c r="J93" s="17"/>
      <c r="K93" s="79"/>
    </row>
    <row r="94" spans="1:11" s="13" customFormat="1" ht="15.75">
      <c r="A94" s="100"/>
      <c r="B94" s="10" t="s">
        <v>505</v>
      </c>
      <c r="C94" s="211"/>
      <c r="D94" s="154"/>
      <c r="E94" s="153"/>
      <c r="F94" s="218"/>
      <c r="G94" s="219"/>
      <c r="H94" s="219"/>
      <c r="I94" s="219"/>
      <c r="J94" s="20"/>
      <c r="K94" s="75"/>
    </row>
    <row r="95" spans="1:11" s="8" customFormat="1" ht="15.75">
      <c r="A95" s="103" t="s">
        <v>438</v>
      </c>
      <c r="B95" s="10" t="s">
        <v>38</v>
      </c>
      <c r="C95" s="217">
        <f>SUM(D95:J95)</f>
        <v>0</v>
      </c>
      <c r="D95" s="121">
        <f>1500-300-1200</f>
        <v>0</v>
      </c>
      <c r="E95" s="121">
        <v>0</v>
      </c>
      <c r="F95" s="213"/>
      <c r="G95" s="213"/>
      <c r="H95" s="213"/>
      <c r="I95" s="220"/>
      <c r="J95" s="19"/>
      <c r="K95" s="73"/>
    </row>
    <row r="96" spans="1:11" s="8" customFormat="1" ht="15.75">
      <c r="A96" s="103" t="s">
        <v>439</v>
      </c>
      <c r="B96" s="10" t="s">
        <v>512</v>
      </c>
      <c r="C96" s="217">
        <f>SUM(D96:J96)</f>
        <v>2144</v>
      </c>
      <c r="D96" s="121">
        <v>144</v>
      </c>
      <c r="E96" s="121"/>
      <c r="F96" s="213"/>
      <c r="G96" s="213"/>
      <c r="H96" s="213"/>
      <c r="I96" s="220"/>
      <c r="J96" s="19">
        <v>2000</v>
      </c>
      <c r="K96" s="73"/>
    </row>
    <row r="97" spans="1:11" s="8" customFormat="1" ht="15" customHeight="1">
      <c r="A97" s="103" t="s">
        <v>440</v>
      </c>
      <c r="B97" s="10" t="s">
        <v>39</v>
      </c>
      <c r="C97" s="217">
        <f aca="true" t="shared" si="38" ref="C97:C105">SUM(D97:J97)</f>
        <v>0</v>
      </c>
      <c r="D97" s="121"/>
      <c r="E97" s="121">
        <f>2000-2000</f>
        <v>0</v>
      </c>
      <c r="F97" s="213">
        <f>3260-3260</f>
        <v>0</v>
      </c>
      <c r="G97" s="213"/>
      <c r="H97" s="213"/>
      <c r="I97" s="220"/>
      <c r="J97" s="19"/>
      <c r="K97" s="73"/>
    </row>
    <row r="98" spans="1:11" s="8" customFormat="1" ht="15" customHeight="1">
      <c r="A98" s="103" t="s">
        <v>441</v>
      </c>
      <c r="B98" s="90" t="s">
        <v>340</v>
      </c>
      <c r="C98" s="217">
        <f t="shared" si="38"/>
        <v>1000</v>
      </c>
      <c r="D98" s="121"/>
      <c r="E98" s="121"/>
      <c r="F98" s="213"/>
      <c r="G98" s="213"/>
      <c r="H98" s="213">
        <f>1000</f>
        <v>1000</v>
      </c>
      <c r="I98" s="220"/>
      <c r="J98" s="19"/>
      <c r="K98" s="73"/>
    </row>
    <row r="99" spans="1:11" s="8" customFormat="1" ht="15" customHeight="1">
      <c r="A99" s="103" t="s">
        <v>442</v>
      </c>
      <c r="B99" s="90" t="s">
        <v>453</v>
      </c>
      <c r="C99" s="217">
        <f t="shared" si="38"/>
        <v>2000</v>
      </c>
      <c r="D99" s="121"/>
      <c r="E99" s="121"/>
      <c r="F99" s="213"/>
      <c r="G99" s="213"/>
      <c r="H99" s="213"/>
      <c r="I99" s="220">
        <v>2000</v>
      </c>
      <c r="J99" s="19"/>
      <c r="K99" s="73"/>
    </row>
    <row r="100" spans="1:11" s="8" customFormat="1" ht="15" customHeight="1">
      <c r="A100" s="103" t="s">
        <v>392</v>
      </c>
      <c r="B100" s="10" t="s">
        <v>40</v>
      </c>
      <c r="C100" s="217">
        <f t="shared" si="38"/>
        <v>2441.479</v>
      </c>
      <c r="D100" s="121"/>
      <c r="E100" s="121">
        <f>266+875.8-159.65+858.954+600.375</f>
        <v>2441.479</v>
      </c>
      <c r="F100" s="213"/>
      <c r="G100" s="213"/>
      <c r="H100" s="213"/>
      <c r="I100" s="220"/>
      <c r="J100" s="19"/>
      <c r="K100" s="73"/>
    </row>
    <row r="101" spans="1:11" s="8" customFormat="1" ht="15" customHeight="1">
      <c r="A101" s="103" t="s">
        <v>393</v>
      </c>
      <c r="B101" s="10" t="s">
        <v>41</v>
      </c>
      <c r="C101" s="217">
        <f t="shared" si="38"/>
        <v>0</v>
      </c>
      <c r="D101" s="121"/>
      <c r="E101" s="121"/>
      <c r="F101" s="213"/>
      <c r="G101" s="213"/>
      <c r="H101" s="213"/>
      <c r="I101" s="220"/>
      <c r="J101" s="19"/>
      <c r="K101" s="73"/>
    </row>
    <row r="102" spans="1:11" s="8" customFormat="1" ht="15" customHeight="1">
      <c r="A102" s="103" t="s">
        <v>394</v>
      </c>
      <c r="B102" s="10" t="s">
        <v>42</v>
      </c>
      <c r="C102" s="217">
        <f t="shared" si="38"/>
        <v>0</v>
      </c>
      <c r="D102" s="121"/>
      <c r="E102" s="121"/>
      <c r="F102" s="213"/>
      <c r="G102" s="213"/>
      <c r="H102" s="213"/>
      <c r="I102" s="220"/>
      <c r="J102" s="19"/>
      <c r="K102" s="73"/>
    </row>
    <row r="103" spans="1:11" s="8" customFormat="1" ht="15" customHeight="1">
      <c r="A103" s="103" t="s">
        <v>395</v>
      </c>
      <c r="B103" s="10" t="s">
        <v>43</v>
      </c>
      <c r="C103" s="217">
        <f t="shared" si="38"/>
        <v>0</v>
      </c>
      <c r="D103" s="121"/>
      <c r="E103" s="121"/>
      <c r="F103" s="213"/>
      <c r="G103" s="213"/>
      <c r="H103" s="213"/>
      <c r="I103" s="220"/>
      <c r="J103" s="19"/>
      <c r="K103" s="73"/>
    </row>
    <row r="104" spans="1:11" s="8" customFormat="1" ht="15" customHeight="1">
      <c r="A104" s="103" t="s">
        <v>396</v>
      </c>
      <c r="B104" s="10" t="s">
        <v>44</v>
      </c>
      <c r="C104" s="217">
        <f t="shared" si="38"/>
        <v>0</v>
      </c>
      <c r="D104" s="121"/>
      <c r="E104" s="121"/>
      <c r="F104" s="213"/>
      <c r="G104" s="213"/>
      <c r="H104" s="213"/>
      <c r="I104" s="220"/>
      <c r="J104" s="19"/>
      <c r="K104" s="73"/>
    </row>
    <row r="105" spans="1:11" s="8" customFormat="1" ht="15" customHeight="1">
      <c r="A105" s="103" t="s">
        <v>397</v>
      </c>
      <c r="B105" s="10" t="s">
        <v>388</v>
      </c>
      <c r="C105" s="217">
        <f t="shared" si="38"/>
        <v>0</v>
      </c>
      <c r="D105" s="121"/>
      <c r="E105" s="121"/>
      <c r="F105" s="213"/>
      <c r="G105" s="213"/>
      <c r="H105" s="213"/>
      <c r="I105" s="220"/>
      <c r="J105" s="19"/>
      <c r="K105" s="73"/>
    </row>
    <row r="106" spans="1:11" s="8" customFormat="1" ht="35.25" customHeight="1">
      <c r="A106" s="103"/>
      <c r="B106" s="10" t="s">
        <v>21</v>
      </c>
      <c r="C106" s="217"/>
      <c r="D106" s="121"/>
      <c r="E106" s="121"/>
      <c r="F106" s="213"/>
      <c r="G106" s="213"/>
      <c r="H106" s="213"/>
      <c r="I106" s="220"/>
      <c r="J106" s="19"/>
      <c r="K106" s="73"/>
    </row>
    <row r="107" spans="1:11" s="8" customFormat="1" ht="15" customHeight="1">
      <c r="A107" s="103" t="s">
        <v>398</v>
      </c>
      <c r="B107" s="12" t="s">
        <v>341</v>
      </c>
      <c r="C107" s="217">
        <f>SUM(D107:J107)</f>
        <v>250</v>
      </c>
      <c r="D107" s="121"/>
      <c r="E107" s="121">
        <f>250</f>
        <v>250</v>
      </c>
      <c r="F107" s="213"/>
      <c r="G107" s="213"/>
      <c r="H107" s="213"/>
      <c r="I107" s="220"/>
      <c r="J107" s="19"/>
      <c r="K107" s="73"/>
    </row>
    <row r="108" spans="1:11" s="8" customFormat="1" ht="15" customHeight="1">
      <c r="A108" s="103" t="s">
        <v>399</v>
      </c>
      <c r="B108" s="12" t="s">
        <v>25</v>
      </c>
      <c r="C108" s="217">
        <f aca="true" t="shared" si="39" ref="C108:C113">SUM(D108:J108)</f>
        <v>0</v>
      </c>
      <c r="D108" s="121"/>
      <c r="E108" s="121">
        <f>266-266</f>
        <v>0</v>
      </c>
      <c r="F108" s="213"/>
      <c r="G108" s="213"/>
      <c r="H108" s="213"/>
      <c r="I108" s="220"/>
      <c r="J108" s="19"/>
      <c r="K108" s="73"/>
    </row>
    <row r="109" spans="1:11" s="8" customFormat="1" ht="15" customHeight="1">
      <c r="A109" s="103" t="s">
        <v>400</v>
      </c>
      <c r="B109" s="12" t="s">
        <v>37</v>
      </c>
      <c r="C109" s="217">
        <f t="shared" si="39"/>
        <v>0</v>
      </c>
      <c r="D109" s="121"/>
      <c r="E109" s="121"/>
      <c r="F109" s="213"/>
      <c r="G109" s="213"/>
      <c r="H109" s="213"/>
      <c r="I109" s="220"/>
      <c r="J109" s="19"/>
      <c r="K109" s="73"/>
    </row>
    <row r="110" spans="1:11" s="8" customFormat="1" ht="15" customHeight="1">
      <c r="A110" s="103" t="s">
        <v>401</v>
      </c>
      <c r="B110" s="12" t="s">
        <v>342</v>
      </c>
      <c r="C110" s="217">
        <f t="shared" si="39"/>
        <v>100</v>
      </c>
      <c r="D110" s="121"/>
      <c r="E110" s="121">
        <f>250-250</f>
        <v>0</v>
      </c>
      <c r="F110" s="213">
        <f>100</f>
        <v>100</v>
      </c>
      <c r="G110" s="213"/>
      <c r="H110" s="213"/>
      <c r="I110" s="220"/>
      <c r="J110" s="19"/>
      <c r="K110" s="73"/>
    </row>
    <row r="111" spans="1:11" s="8" customFormat="1" ht="15" customHeight="1">
      <c r="A111" s="103" t="s">
        <v>402</v>
      </c>
      <c r="B111" s="12" t="s">
        <v>45</v>
      </c>
      <c r="C111" s="217">
        <f t="shared" si="39"/>
        <v>0</v>
      </c>
      <c r="D111" s="121"/>
      <c r="E111" s="121"/>
      <c r="F111" s="213"/>
      <c r="G111" s="213"/>
      <c r="H111" s="213"/>
      <c r="I111" s="220"/>
      <c r="J111" s="19"/>
      <c r="K111" s="73"/>
    </row>
    <row r="112" spans="1:11" s="8" customFormat="1" ht="15" customHeight="1">
      <c r="A112" s="103" t="s">
        <v>403</v>
      </c>
      <c r="B112" s="12" t="s">
        <v>36</v>
      </c>
      <c r="C112" s="217">
        <f t="shared" si="39"/>
        <v>0</v>
      </c>
      <c r="D112" s="121"/>
      <c r="E112" s="121"/>
      <c r="F112" s="213"/>
      <c r="G112" s="213"/>
      <c r="H112" s="213"/>
      <c r="I112" s="220"/>
      <c r="J112" s="19"/>
      <c r="K112" s="73"/>
    </row>
    <row r="113" spans="1:11" s="8" customFormat="1" ht="15" customHeight="1">
      <c r="A113" s="103" t="s">
        <v>404</v>
      </c>
      <c r="B113" s="12" t="s">
        <v>389</v>
      </c>
      <c r="C113" s="217">
        <f t="shared" si="39"/>
        <v>0</v>
      </c>
      <c r="D113" s="121"/>
      <c r="E113" s="121"/>
      <c r="F113" s="213"/>
      <c r="G113" s="213"/>
      <c r="H113" s="213"/>
      <c r="I113" s="220"/>
      <c r="J113" s="19"/>
      <c r="K113" s="73"/>
    </row>
    <row r="114" spans="1:11" s="8" customFormat="1" ht="15" customHeight="1">
      <c r="A114" s="103"/>
      <c r="B114" s="12"/>
      <c r="C114" s="211"/>
      <c r="D114" s="117"/>
      <c r="E114" s="95"/>
      <c r="F114" s="214"/>
      <c r="G114" s="215"/>
      <c r="H114" s="215"/>
      <c r="I114" s="215"/>
      <c r="J114" s="22"/>
      <c r="K114" s="73"/>
    </row>
    <row r="115" spans="1:11" s="39" customFormat="1" ht="81.75" customHeight="1">
      <c r="A115" s="103" t="s">
        <v>405</v>
      </c>
      <c r="B115" s="37" t="s">
        <v>248</v>
      </c>
      <c r="C115" s="210">
        <f>SUM(C116)</f>
        <v>956556.8</v>
      </c>
      <c r="D115" s="115">
        <f>SUM(D116)</f>
        <v>98262</v>
      </c>
      <c r="E115" s="114">
        <f aca="true" t="shared" si="40" ref="E115:J115">SUM(E116)</f>
        <v>105283</v>
      </c>
      <c r="F115" s="182">
        <f t="shared" si="40"/>
        <v>149688.8</v>
      </c>
      <c r="G115" s="210">
        <f t="shared" si="40"/>
        <v>157069</v>
      </c>
      <c r="H115" s="210">
        <f t="shared" si="40"/>
        <v>157069</v>
      </c>
      <c r="I115" s="210">
        <f t="shared" si="40"/>
        <v>157069</v>
      </c>
      <c r="J115" s="16">
        <f t="shared" si="40"/>
        <v>132116</v>
      </c>
      <c r="K115" s="73" t="s">
        <v>473</v>
      </c>
    </row>
    <row r="116" spans="1:11" s="8" customFormat="1" ht="15" customHeight="1">
      <c r="A116" s="103" t="s">
        <v>406</v>
      </c>
      <c r="B116" s="10" t="s">
        <v>494</v>
      </c>
      <c r="C116" s="211">
        <f>SUM(D116:J116)</f>
        <v>956556.8</v>
      </c>
      <c r="D116" s="95">
        <f>87177+6741+4344</f>
        <v>98262</v>
      </c>
      <c r="E116" s="95">
        <f>109598-4315</f>
        <v>105283</v>
      </c>
      <c r="F116" s="214">
        <f>150914-1225.2</f>
        <v>149688.8</v>
      </c>
      <c r="G116" s="214">
        <f>157069</f>
        <v>157069</v>
      </c>
      <c r="H116" s="214">
        <f>157069</f>
        <v>157069</v>
      </c>
      <c r="I116" s="214">
        <f>157069</f>
        <v>157069</v>
      </c>
      <c r="J116" s="34">
        <v>132116</v>
      </c>
      <c r="K116" s="73"/>
    </row>
    <row r="117" spans="1:11" s="8" customFormat="1" ht="15" customHeight="1">
      <c r="A117" s="103"/>
      <c r="B117" s="89"/>
      <c r="C117" s="211"/>
      <c r="D117" s="95"/>
      <c r="E117" s="95"/>
      <c r="F117" s="214"/>
      <c r="G117" s="214"/>
      <c r="H117" s="214"/>
      <c r="I117" s="214"/>
      <c r="J117" s="34"/>
      <c r="K117" s="73"/>
    </row>
    <row r="118" spans="1:11" s="39" customFormat="1" ht="82.5" customHeight="1">
      <c r="A118" s="104" t="s">
        <v>407</v>
      </c>
      <c r="B118" s="38" t="s">
        <v>249</v>
      </c>
      <c r="C118" s="210">
        <f>SUM(C119:C121)</f>
        <v>945450.7320000001</v>
      </c>
      <c r="D118" s="115">
        <f aca="true" t="shared" si="41" ref="D118:J118">SUM(D119:D121)</f>
        <v>137034.519</v>
      </c>
      <c r="E118" s="114">
        <f t="shared" si="41"/>
        <v>153941.77599999998</v>
      </c>
      <c r="F118" s="182">
        <f t="shared" si="41"/>
        <v>119106.73700000001</v>
      </c>
      <c r="G118" s="182">
        <f t="shared" si="41"/>
        <v>123947.7</v>
      </c>
      <c r="H118" s="182">
        <f t="shared" si="41"/>
        <v>124830</v>
      </c>
      <c r="I118" s="182">
        <f t="shared" si="41"/>
        <v>124830</v>
      </c>
      <c r="J118" s="16">
        <f t="shared" si="41"/>
        <v>161760</v>
      </c>
      <c r="K118" s="73" t="s">
        <v>474</v>
      </c>
    </row>
    <row r="119" spans="1:12" s="8" customFormat="1" ht="15" customHeight="1">
      <c r="A119" s="104" t="s">
        <v>408</v>
      </c>
      <c r="B119" s="10" t="s">
        <v>492</v>
      </c>
      <c r="C119" s="211">
        <f>SUM(D119:J119)</f>
        <v>675134.7320000001</v>
      </c>
      <c r="D119" s="95">
        <v>104718.519</v>
      </c>
      <c r="E119" s="95">
        <f>118131-150+159.65-1200-455.891-587.485+44.502</f>
        <v>115941.77599999998</v>
      </c>
      <c r="F119" s="214">
        <f>69537.1+4500+4741.615+250-100-200+178.022+200</f>
        <v>79106.73700000001</v>
      </c>
      <c r="G119" s="214">
        <f>82147.7+800+1000</f>
        <v>83947.7</v>
      </c>
      <c r="H119" s="214">
        <f>84830</f>
        <v>84830</v>
      </c>
      <c r="I119" s="214">
        <f>84830</f>
        <v>84830</v>
      </c>
      <c r="J119" s="34">
        <v>121760</v>
      </c>
      <c r="K119" s="73"/>
      <c r="L119" s="66"/>
    </row>
    <row r="120" spans="1:12" s="8" customFormat="1" ht="15" customHeight="1">
      <c r="A120" s="104" t="s">
        <v>409</v>
      </c>
      <c r="B120" s="12" t="s">
        <v>494</v>
      </c>
      <c r="C120" s="211">
        <f>SUM(D120:J120)</f>
        <v>1316</v>
      </c>
      <c r="D120" s="95">
        <v>1316</v>
      </c>
      <c r="E120" s="95"/>
      <c r="F120" s="214"/>
      <c r="G120" s="214"/>
      <c r="H120" s="214"/>
      <c r="I120" s="214"/>
      <c r="J120" s="34"/>
      <c r="K120" s="73"/>
      <c r="L120" s="66"/>
    </row>
    <row r="121" spans="1:11" s="8" customFormat="1" ht="15" customHeight="1">
      <c r="A121" s="104" t="s">
        <v>410</v>
      </c>
      <c r="B121" s="10" t="s">
        <v>495</v>
      </c>
      <c r="C121" s="211">
        <f>SUM(D121:J121)</f>
        <v>269000</v>
      </c>
      <c r="D121" s="95">
        <v>31000</v>
      </c>
      <c r="E121" s="95">
        <v>38000</v>
      </c>
      <c r="F121" s="214">
        <v>40000</v>
      </c>
      <c r="G121" s="214">
        <v>40000</v>
      </c>
      <c r="H121" s="214">
        <v>40000</v>
      </c>
      <c r="I121" s="214">
        <v>40000</v>
      </c>
      <c r="J121" s="34">
        <v>40000</v>
      </c>
      <c r="K121" s="73"/>
    </row>
    <row r="122" spans="1:11" s="8" customFormat="1" ht="15" customHeight="1">
      <c r="A122" s="103"/>
      <c r="B122" s="89"/>
      <c r="C122" s="211"/>
      <c r="D122" s="95"/>
      <c r="E122" s="95"/>
      <c r="F122" s="214"/>
      <c r="G122" s="214"/>
      <c r="H122" s="214"/>
      <c r="I122" s="214"/>
      <c r="J122" s="34"/>
      <c r="K122" s="73"/>
    </row>
    <row r="123" spans="1:11" s="41" customFormat="1" ht="63">
      <c r="A123" s="102" t="s">
        <v>80</v>
      </c>
      <c r="B123" s="85" t="s">
        <v>250</v>
      </c>
      <c r="C123" s="182">
        <f aca="true" t="shared" si="42" ref="C123:J123">SUM(C124:C124)</f>
        <v>3103.2219999999998</v>
      </c>
      <c r="D123" s="114">
        <f t="shared" si="42"/>
        <v>2207</v>
      </c>
      <c r="E123" s="114">
        <f t="shared" si="42"/>
        <v>896.222</v>
      </c>
      <c r="F123" s="182">
        <f t="shared" si="42"/>
        <v>0</v>
      </c>
      <c r="G123" s="182">
        <f t="shared" si="42"/>
        <v>0</v>
      </c>
      <c r="H123" s="182">
        <f t="shared" si="42"/>
        <v>0</v>
      </c>
      <c r="I123" s="182">
        <f t="shared" si="42"/>
        <v>0</v>
      </c>
      <c r="J123" s="35">
        <f t="shared" si="42"/>
        <v>0</v>
      </c>
      <c r="K123" s="73" t="s">
        <v>360</v>
      </c>
    </row>
    <row r="124" spans="1:12" s="14" customFormat="1" ht="15.75">
      <c r="A124" s="99" t="s">
        <v>72</v>
      </c>
      <c r="B124" s="32" t="s">
        <v>492</v>
      </c>
      <c r="C124" s="217">
        <f>SUM(D124:J124)</f>
        <v>3103.2219999999998</v>
      </c>
      <c r="D124" s="111">
        <f>1000+1207</f>
        <v>2207</v>
      </c>
      <c r="E124" s="111">
        <f>505+391.3-0.078</f>
        <v>896.222</v>
      </c>
      <c r="F124" s="205"/>
      <c r="G124" s="205"/>
      <c r="H124" s="205"/>
      <c r="I124" s="205"/>
      <c r="J124" s="52"/>
      <c r="K124" s="77"/>
      <c r="L124" s="86"/>
    </row>
    <row r="125" spans="1:12" s="14" customFormat="1" ht="15.75">
      <c r="A125" s="102"/>
      <c r="B125" s="32"/>
      <c r="C125" s="182"/>
      <c r="D125" s="111"/>
      <c r="E125" s="111"/>
      <c r="F125" s="205"/>
      <c r="G125" s="205"/>
      <c r="H125" s="205"/>
      <c r="I125" s="205"/>
      <c r="J125" s="52"/>
      <c r="K125" s="77"/>
      <c r="L125" s="86"/>
    </row>
    <row r="126" spans="1:11" s="41" customFormat="1" ht="47.25">
      <c r="A126" s="102" t="s">
        <v>73</v>
      </c>
      <c r="B126" s="85" t="s">
        <v>251</v>
      </c>
      <c r="C126" s="182">
        <f>SUM(D126:J126)</f>
        <v>50221.235</v>
      </c>
      <c r="D126" s="114">
        <f>SUM(D127:D128)</f>
        <v>0</v>
      </c>
      <c r="E126" s="114">
        <f aca="true" t="shared" si="43" ref="E126:J126">SUM(E127:E128)</f>
        <v>50221.235</v>
      </c>
      <c r="F126" s="182">
        <f t="shared" si="43"/>
        <v>0</v>
      </c>
      <c r="G126" s="182">
        <f t="shared" si="43"/>
        <v>0</v>
      </c>
      <c r="H126" s="182">
        <f t="shared" si="43"/>
        <v>0</v>
      </c>
      <c r="I126" s="182">
        <f t="shared" si="43"/>
        <v>0</v>
      </c>
      <c r="J126" s="35">
        <f t="shared" si="43"/>
        <v>0</v>
      </c>
      <c r="K126" s="73" t="s">
        <v>360</v>
      </c>
    </row>
    <row r="127" spans="1:11" s="41" customFormat="1" ht="15.75">
      <c r="A127" s="102" t="s">
        <v>74</v>
      </c>
      <c r="B127" s="32" t="s">
        <v>492</v>
      </c>
      <c r="C127" s="217">
        <f>SUM(D127:J127)</f>
        <v>24321.235</v>
      </c>
      <c r="D127" s="124">
        <f>SUM(D131+D135)</f>
        <v>0</v>
      </c>
      <c r="E127" s="124">
        <f aca="true" t="shared" si="44" ref="E127:J127">SUM(E131+E135+E138+E141)</f>
        <v>24321.235</v>
      </c>
      <c r="F127" s="183">
        <f t="shared" si="44"/>
        <v>0</v>
      </c>
      <c r="G127" s="183">
        <f t="shared" si="44"/>
        <v>0</v>
      </c>
      <c r="H127" s="183">
        <f t="shared" si="44"/>
        <v>0</v>
      </c>
      <c r="I127" s="183">
        <f t="shared" si="44"/>
        <v>0</v>
      </c>
      <c r="J127" s="91">
        <f t="shared" si="44"/>
        <v>0</v>
      </c>
      <c r="K127" s="77"/>
    </row>
    <row r="128" spans="1:11" s="41" customFormat="1" ht="15.75">
      <c r="A128" s="102" t="s">
        <v>75</v>
      </c>
      <c r="B128" s="28" t="s">
        <v>494</v>
      </c>
      <c r="C128" s="217">
        <f>SUM(D128:J128)</f>
        <v>25900</v>
      </c>
      <c r="D128" s="124">
        <f>SUM(D132)</f>
        <v>0</v>
      </c>
      <c r="E128" s="124">
        <f aca="true" t="shared" si="45" ref="E128:J128">SUM(E132+E142)</f>
        <v>25900</v>
      </c>
      <c r="F128" s="183">
        <f t="shared" si="45"/>
        <v>0</v>
      </c>
      <c r="G128" s="183">
        <f t="shared" si="45"/>
        <v>0</v>
      </c>
      <c r="H128" s="183">
        <f t="shared" si="45"/>
        <v>0</v>
      </c>
      <c r="I128" s="183">
        <f t="shared" si="45"/>
        <v>0</v>
      </c>
      <c r="J128" s="91">
        <f t="shared" si="45"/>
        <v>0</v>
      </c>
      <c r="K128" s="77"/>
    </row>
    <row r="129" spans="1:11" s="41" customFormat="1" ht="15.75">
      <c r="A129" s="99"/>
      <c r="B129" s="32" t="s">
        <v>54</v>
      </c>
      <c r="C129" s="217"/>
      <c r="D129" s="114"/>
      <c r="E129" s="114"/>
      <c r="F129" s="182"/>
      <c r="G129" s="182"/>
      <c r="H129" s="182"/>
      <c r="I129" s="182"/>
      <c r="J129" s="35"/>
      <c r="K129" s="77"/>
    </row>
    <row r="130" spans="1:11" s="41" customFormat="1" ht="31.5">
      <c r="A130" s="99" t="s">
        <v>76</v>
      </c>
      <c r="B130" s="32" t="s">
        <v>55</v>
      </c>
      <c r="C130" s="217">
        <f aca="true" t="shared" si="46" ref="C130:C142">SUM(D130:J130)</f>
        <v>40341.235</v>
      </c>
      <c r="D130" s="114">
        <f aca="true" t="shared" si="47" ref="D130:J130">SUM(D131:D132)</f>
        <v>0</v>
      </c>
      <c r="E130" s="114">
        <f t="shared" si="47"/>
        <v>40341.235</v>
      </c>
      <c r="F130" s="182">
        <f t="shared" si="47"/>
        <v>0</v>
      </c>
      <c r="G130" s="182">
        <f t="shared" si="47"/>
        <v>0</v>
      </c>
      <c r="H130" s="182">
        <f t="shared" si="47"/>
        <v>0</v>
      </c>
      <c r="I130" s="182">
        <f t="shared" si="47"/>
        <v>0</v>
      </c>
      <c r="J130" s="35">
        <f t="shared" si="47"/>
        <v>0</v>
      </c>
      <c r="K130" s="77"/>
    </row>
    <row r="131" spans="1:11" s="41" customFormat="1" ht="15.75">
      <c r="A131" s="99" t="s">
        <v>77</v>
      </c>
      <c r="B131" s="32" t="s">
        <v>492</v>
      </c>
      <c r="C131" s="217">
        <f t="shared" si="46"/>
        <v>17241.235</v>
      </c>
      <c r="D131" s="124"/>
      <c r="E131" s="124">
        <f>9900+4820+1900+621.235</f>
        <v>17241.235</v>
      </c>
      <c r="F131" s="183">
        <f>2700-2700</f>
        <v>0</v>
      </c>
      <c r="G131" s="183"/>
      <c r="H131" s="183"/>
      <c r="I131" s="183"/>
      <c r="J131" s="91"/>
      <c r="K131" s="77"/>
    </row>
    <row r="132" spans="1:11" s="41" customFormat="1" ht="15.75">
      <c r="A132" s="99" t="s">
        <v>78</v>
      </c>
      <c r="B132" s="28" t="s">
        <v>494</v>
      </c>
      <c r="C132" s="217">
        <f t="shared" si="46"/>
        <v>23100</v>
      </c>
      <c r="D132" s="124"/>
      <c r="E132" s="124">
        <v>23100</v>
      </c>
      <c r="F132" s="183"/>
      <c r="G132" s="183"/>
      <c r="H132" s="183"/>
      <c r="I132" s="183"/>
      <c r="J132" s="91"/>
      <c r="K132" s="77"/>
    </row>
    <row r="133" spans="1:11" s="41" customFormat="1" ht="15.75">
      <c r="A133" s="99"/>
      <c r="B133" s="28"/>
      <c r="C133" s="217"/>
      <c r="D133" s="124"/>
      <c r="E133" s="124"/>
      <c r="F133" s="183"/>
      <c r="G133" s="183"/>
      <c r="H133" s="183"/>
      <c r="I133" s="183"/>
      <c r="J133" s="91"/>
      <c r="K133" s="77"/>
    </row>
    <row r="134" spans="1:11" s="41" customFormat="1" ht="47.25">
      <c r="A134" s="99" t="s">
        <v>79</v>
      </c>
      <c r="B134" s="92" t="s">
        <v>53</v>
      </c>
      <c r="C134" s="217">
        <f t="shared" si="46"/>
        <v>780</v>
      </c>
      <c r="D134" s="124">
        <f>SUM(D135)</f>
        <v>0</v>
      </c>
      <c r="E134" s="124">
        <f aca="true" t="shared" si="48" ref="E134:J137">SUM(E135)</f>
        <v>780</v>
      </c>
      <c r="F134" s="183">
        <f t="shared" si="48"/>
        <v>0</v>
      </c>
      <c r="G134" s="183">
        <f t="shared" si="48"/>
        <v>0</v>
      </c>
      <c r="H134" s="183">
        <f t="shared" si="48"/>
        <v>0</v>
      </c>
      <c r="I134" s="183">
        <f t="shared" si="48"/>
        <v>0</v>
      </c>
      <c r="J134" s="91">
        <f t="shared" si="48"/>
        <v>0</v>
      </c>
      <c r="K134" s="77"/>
    </row>
    <row r="135" spans="1:12" s="14" customFormat="1" ht="15.75">
      <c r="A135" s="99" t="s">
        <v>81</v>
      </c>
      <c r="B135" s="32" t="s">
        <v>492</v>
      </c>
      <c r="C135" s="217">
        <f t="shared" si="46"/>
        <v>780</v>
      </c>
      <c r="D135" s="111"/>
      <c r="E135" s="111">
        <f>600+180</f>
        <v>780</v>
      </c>
      <c r="F135" s="205"/>
      <c r="G135" s="205"/>
      <c r="H135" s="205"/>
      <c r="I135" s="205"/>
      <c r="J135" s="52"/>
      <c r="K135" s="77"/>
      <c r="L135" s="86"/>
    </row>
    <row r="136" spans="1:12" s="14" customFormat="1" ht="15.75">
      <c r="A136" s="99"/>
      <c r="B136" s="32"/>
      <c r="C136" s="217"/>
      <c r="D136" s="111"/>
      <c r="E136" s="111"/>
      <c r="F136" s="205"/>
      <c r="G136" s="205"/>
      <c r="H136" s="205"/>
      <c r="I136" s="205"/>
      <c r="J136" s="52"/>
      <c r="K136" s="77"/>
      <c r="L136" s="86"/>
    </row>
    <row r="137" spans="1:11" s="41" customFormat="1" ht="31.5">
      <c r="A137" s="99" t="s">
        <v>82</v>
      </c>
      <c r="B137" s="92" t="s">
        <v>64</v>
      </c>
      <c r="C137" s="217">
        <f>SUM(D137:J137)</f>
        <v>5100</v>
      </c>
      <c r="D137" s="124">
        <f>SUM(D138)</f>
        <v>0</v>
      </c>
      <c r="E137" s="124">
        <f t="shared" si="48"/>
        <v>5100</v>
      </c>
      <c r="F137" s="183">
        <f t="shared" si="48"/>
        <v>0</v>
      </c>
      <c r="G137" s="183">
        <f t="shared" si="48"/>
        <v>0</v>
      </c>
      <c r="H137" s="183">
        <f t="shared" si="48"/>
        <v>0</v>
      </c>
      <c r="I137" s="183">
        <f t="shared" si="48"/>
        <v>0</v>
      </c>
      <c r="J137" s="91">
        <f t="shared" si="48"/>
        <v>0</v>
      </c>
      <c r="K137" s="77"/>
    </row>
    <row r="138" spans="1:12" s="14" customFormat="1" ht="15.75">
      <c r="A138" s="99" t="s">
        <v>83</v>
      </c>
      <c r="B138" s="32" t="s">
        <v>492</v>
      </c>
      <c r="C138" s="217">
        <f>SUM(D138:J138)</f>
        <v>5100</v>
      </c>
      <c r="D138" s="111"/>
      <c r="E138" s="111">
        <f>7000-1900</f>
        <v>5100</v>
      </c>
      <c r="F138" s="205"/>
      <c r="G138" s="205"/>
      <c r="H138" s="205"/>
      <c r="I138" s="205"/>
      <c r="J138" s="52"/>
      <c r="K138" s="77"/>
      <c r="L138" s="86"/>
    </row>
    <row r="139" spans="1:12" s="14" customFormat="1" ht="15.75">
      <c r="A139" s="99"/>
      <c r="B139" s="32"/>
      <c r="C139" s="217"/>
      <c r="D139" s="111"/>
      <c r="E139" s="111"/>
      <c r="F139" s="205"/>
      <c r="G139" s="205"/>
      <c r="H139" s="205"/>
      <c r="I139" s="205"/>
      <c r="J139" s="52"/>
      <c r="K139" s="77"/>
      <c r="L139" s="86"/>
    </row>
    <row r="140" spans="1:12" s="14" customFormat="1" ht="31.5">
      <c r="A140" s="99" t="s">
        <v>84</v>
      </c>
      <c r="B140" s="32" t="s">
        <v>61</v>
      </c>
      <c r="C140" s="217">
        <f t="shared" si="46"/>
        <v>4000</v>
      </c>
      <c r="D140" s="114">
        <f aca="true" t="shared" si="49" ref="D140:I140">SUM(D141:D142)</f>
        <v>0</v>
      </c>
      <c r="E140" s="114">
        <f t="shared" si="49"/>
        <v>4000</v>
      </c>
      <c r="F140" s="182">
        <f t="shared" si="49"/>
        <v>0</v>
      </c>
      <c r="G140" s="182">
        <f t="shared" si="49"/>
        <v>0</v>
      </c>
      <c r="H140" s="182">
        <f t="shared" si="49"/>
        <v>0</v>
      </c>
      <c r="I140" s="182">
        <f t="shared" si="49"/>
        <v>0</v>
      </c>
      <c r="J140" s="35"/>
      <c r="K140" s="77"/>
      <c r="L140" s="86"/>
    </row>
    <row r="141" spans="1:12" s="14" customFormat="1" ht="15.75">
      <c r="A141" s="99" t="s">
        <v>85</v>
      </c>
      <c r="B141" s="32" t="s">
        <v>492</v>
      </c>
      <c r="C141" s="217">
        <f t="shared" si="46"/>
        <v>1200</v>
      </c>
      <c r="D141" s="111"/>
      <c r="E141" s="111">
        <f>1200</f>
        <v>1200</v>
      </c>
      <c r="F141" s="205"/>
      <c r="G141" s="205"/>
      <c r="H141" s="205"/>
      <c r="I141" s="205"/>
      <c r="J141" s="52"/>
      <c r="K141" s="77"/>
      <c r="L141" s="86"/>
    </row>
    <row r="142" spans="1:12" s="14" customFormat="1" ht="15.75">
      <c r="A142" s="99" t="s">
        <v>86</v>
      </c>
      <c r="B142" s="28" t="s">
        <v>494</v>
      </c>
      <c r="C142" s="217">
        <f t="shared" si="46"/>
        <v>2800</v>
      </c>
      <c r="D142" s="111"/>
      <c r="E142" s="111">
        <f>2800</f>
        <v>2800</v>
      </c>
      <c r="F142" s="205"/>
      <c r="G142" s="205"/>
      <c r="H142" s="205"/>
      <c r="I142" s="205"/>
      <c r="J142" s="52"/>
      <c r="K142" s="77"/>
      <c r="L142" s="86"/>
    </row>
    <row r="143" spans="1:12" s="14" customFormat="1" ht="15.75">
      <c r="A143" s="102"/>
      <c r="B143" s="32"/>
      <c r="C143" s="182"/>
      <c r="D143" s="111"/>
      <c r="E143" s="111"/>
      <c r="F143" s="205"/>
      <c r="G143" s="205"/>
      <c r="H143" s="205"/>
      <c r="I143" s="205"/>
      <c r="J143" s="52"/>
      <c r="K143" s="77"/>
      <c r="L143" s="86"/>
    </row>
    <row r="144" spans="1:11" s="7" customFormat="1" ht="15" customHeight="1">
      <c r="A144" s="165"/>
      <c r="B144" s="247" t="s">
        <v>15</v>
      </c>
      <c r="C144" s="248"/>
      <c r="D144" s="248"/>
      <c r="E144" s="248"/>
      <c r="F144" s="248"/>
      <c r="G144" s="248"/>
      <c r="H144" s="248"/>
      <c r="I144" s="248"/>
      <c r="J144" s="248"/>
      <c r="K144" s="249"/>
    </row>
    <row r="145" spans="1:11" s="39" customFormat="1" ht="23.25" customHeight="1">
      <c r="A145" s="103" t="s">
        <v>87</v>
      </c>
      <c r="B145" s="43" t="s">
        <v>522</v>
      </c>
      <c r="C145" s="211">
        <f>SUM(C146:C149)</f>
        <v>2307450.6636599996</v>
      </c>
      <c r="D145" s="97">
        <f aca="true" t="shared" si="50" ref="D145:J145">SUM(D146:D149)</f>
        <v>364991.669</v>
      </c>
      <c r="E145" s="97">
        <f>SUM(E146:E149)</f>
        <v>311126.389</v>
      </c>
      <c r="F145" s="217">
        <f>SUM(F146:F149)</f>
        <v>334841.80566</v>
      </c>
      <c r="G145" s="211">
        <f t="shared" si="50"/>
        <v>311948</v>
      </c>
      <c r="H145" s="211">
        <f t="shared" si="50"/>
        <v>306232.4</v>
      </c>
      <c r="I145" s="211">
        <f t="shared" si="50"/>
        <v>306312.4</v>
      </c>
      <c r="J145" s="18">
        <f t="shared" si="50"/>
        <v>371998</v>
      </c>
      <c r="K145" s="72"/>
    </row>
    <row r="146" spans="1:11" s="8" customFormat="1" ht="15" customHeight="1">
      <c r="A146" s="103" t="s">
        <v>88</v>
      </c>
      <c r="B146" s="10" t="s">
        <v>492</v>
      </c>
      <c r="C146" s="211">
        <f>SUM(D146:J146)</f>
        <v>847075.53766</v>
      </c>
      <c r="D146" s="117">
        <f aca="true" t="shared" si="51" ref="D146:J146">SUM(D152+D184)</f>
        <v>163755.794</v>
      </c>
      <c r="E146" s="117">
        <f t="shared" si="51"/>
        <v>130901.93800000001</v>
      </c>
      <c r="F146" s="214">
        <f>SUM(F152+F184)</f>
        <v>102999.00566000002</v>
      </c>
      <c r="G146" s="214">
        <f>SUM(G152+G184)</f>
        <v>104575</v>
      </c>
      <c r="H146" s="215">
        <f t="shared" si="51"/>
        <v>98859.40000000001</v>
      </c>
      <c r="I146" s="215">
        <f t="shared" si="51"/>
        <v>98939.4</v>
      </c>
      <c r="J146" s="22">
        <f t="shared" si="51"/>
        <v>147045</v>
      </c>
      <c r="K146" s="73"/>
    </row>
    <row r="147" spans="1:11" s="8" customFormat="1" ht="15" customHeight="1">
      <c r="A147" s="103" t="s">
        <v>89</v>
      </c>
      <c r="B147" s="10" t="s">
        <v>493</v>
      </c>
      <c r="C147" s="211">
        <f>SUM(D147:J147)</f>
        <v>7508.806</v>
      </c>
      <c r="D147" s="117">
        <f>SUM(D185)</f>
        <v>1155.675</v>
      </c>
      <c r="E147" s="117">
        <f aca="true" t="shared" si="52" ref="E147:J147">SUM(E185)</f>
        <v>2441.431</v>
      </c>
      <c r="F147" s="214">
        <f t="shared" si="52"/>
        <v>3911.7</v>
      </c>
      <c r="G147" s="215">
        <f t="shared" si="52"/>
        <v>0</v>
      </c>
      <c r="H147" s="215">
        <f t="shared" si="52"/>
        <v>0</v>
      </c>
      <c r="I147" s="215">
        <f t="shared" si="52"/>
        <v>0</v>
      </c>
      <c r="J147" s="22">
        <f t="shared" si="52"/>
        <v>0</v>
      </c>
      <c r="K147" s="73"/>
    </row>
    <row r="148" spans="1:11" s="8" customFormat="1" ht="15" customHeight="1">
      <c r="A148" s="103" t="s">
        <v>90</v>
      </c>
      <c r="B148" s="10" t="s">
        <v>494</v>
      </c>
      <c r="C148" s="211">
        <f>SUM(D148:J148)</f>
        <v>1434168.92</v>
      </c>
      <c r="D148" s="117">
        <f aca="true" t="shared" si="53" ref="D148:J148">SUM(D154+D186)</f>
        <v>195882.8</v>
      </c>
      <c r="E148" s="117">
        <f t="shared" si="53"/>
        <v>177783.02000000002</v>
      </c>
      <c r="F148" s="214">
        <f t="shared" si="53"/>
        <v>226231.1</v>
      </c>
      <c r="G148" s="215">
        <f t="shared" si="53"/>
        <v>204173</v>
      </c>
      <c r="H148" s="215">
        <f t="shared" si="53"/>
        <v>204173</v>
      </c>
      <c r="I148" s="215">
        <f t="shared" si="53"/>
        <v>204173</v>
      </c>
      <c r="J148" s="22">
        <f t="shared" si="53"/>
        <v>221753</v>
      </c>
      <c r="K148" s="73"/>
    </row>
    <row r="149" spans="1:11" s="8" customFormat="1" ht="15" customHeight="1">
      <c r="A149" s="103" t="s">
        <v>91</v>
      </c>
      <c r="B149" s="10" t="s">
        <v>495</v>
      </c>
      <c r="C149" s="211">
        <f>SUM(D149:J149)</f>
        <v>18697.4</v>
      </c>
      <c r="D149" s="117">
        <f>SUM(D187)</f>
        <v>4197.4</v>
      </c>
      <c r="E149" s="117">
        <f aca="true" t="shared" si="54" ref="E149:J149">SUM(E187)</f>
        <v>0</v>
      </c>
      <c r="F149" s="214">
        <f t="shared" si="54"/>
        <v>1700</v>
      </c>
      <c r="G149" s="215">
        <f t="shared" si="54"/>
        <v>3200</v>
      </c>
      <c r="H149" s="215">
        <f t="shared" si="54"/>
        <v>3200</v>
      </c>
      <c r="I149" s="215">
        <f t="shared" si="54"/>
        <v>3200</v>
      </c>
      <c r="J149" s="22">
        <f t="shared" si="54"/>
        <v>3200</v>
      </c>
      <c r="K149" s="73"/>
    </row>
    <row r="150" spans="1:11" s="8" customFormat="1" ht="15" customHeight="1">
      <c r="A150" s="166"/>
      <c r="B150" s="241" t="s">
        <v>496</v>
      </c>
      <c r="C150" s="242"/>
      <c r="D150" s="242"/>
      <c r="E150" s="242"/>
      <c r="F150" s="242"/>
      <c r="G150" s="242"/>
      <c r="H150" s="242"/>
      <c r="I150" s="242"/>
      <c r="J150" s="242"/>
      <c r="K150" s="243"/>
    </row>
    <row r="151" spans="1:11" s="39" customFormat="1" ht="33.75" customHeight="1">
      <c r="A151" s="103" t="s">
        <v>92</v>
      </c>
      <c r="B151" s="43" t="s">
        <v>498</v>
      </c>
      <c r="C151" s="211">
        <f>SUM(C152:C154)</f>
        <v>0</v>
      </c>
      <c r="D151" s="97">
        <f>SUM(D152:D154)</f>
        <v>0</v>
      </c>
      <c r="E151" s="97">
        <f aca="true" t="shared" si="55" ref="E151:J151">SUM(E152:E154)</f>
        <v>0</v>
      </c>
      <c r="F151" s="217">
        <f t="shared" si="55"/>
        <v>0</v>
      </c>
      <c r="G151" s="211">
        <f t="shared" si="55"/>
        <v>0</v>
      </c>
      <c r="H151" s="211">
        <f t="shared" si="55"/>
        <v>0</v>
      </c>
      <c r="I151" s="211">
        <f t="shared" si="55"/>
        <v>0</v>
      </c>
      <c r="J151" s="18">
        <f t="shared" si="55"/>
        <v>0</v>
      </c>
      <c r="K151" s="74"/>
    </row>
    <row r="152" spans="1:11" s="8" customFormat="1" ht="15" customHeight="1">
      <c r="A152" s="103" t="s">
        <v>93</v>
      </c>
      <c r="B152" s="10" t="s">
        <v>492</v>
      </c>
      <c r="C152" s="211">
        <f>SUM(D152:J152)</f>
        <v>0</v>
      </c>
      <c r="D152" s="117">
        <f>SUM(D158+D169)</f>
        <v>0</v>
      </c>
      <c r="E152" s="117">
        <f aca="true" t="shared" si="56" ref="E152:J152">SUM(E158+E169)</f>
        <v>0</v>
      </c>
      <c r="F152" s="214">
        <f t="shared" si="56"/>
        <v>0</v>
      </c>
      <c r="G152" s="215">
        <f t="shared" si="56"/>
        <v>0</v>
      </c>
      <c r="H152" s="215">
        <f t="shared" si="56"/>
        <v>0</v>
      </c>
      <c r="I152" s="215">
        <f t="shared" si="56"/>
        <v>0</v>
      </c>
      <c r="J152" s="22">
        <f t="shared" si="56"/>
        <v>0</v>
      </c>
      <c r="K152" s="73"/>
    </row>
    <row r="153" spans="1:11" s="8" customFormat="1" ht="15" customHeight="1">
      <c r="A153" s="103" t="s">
        <v>94</v>
      </c>
      <c r="B153" s="10" t="s">
        <v>493</v>
      </c>
      <c r="C153" s="211">
        <f>SUM(D153:J153)</f>
        <v>0</v>
      </c>
      <c r="D153" s="117"/>
      <c r="E153" s="117"/>
      <c r="F153" s="214"/>
      <c r="G153" s="215"/>
      <c r="H153" s="215"/>
      <c r="I153" s="215"/>
      <c r="J153" s="22"/>
      <c r="K153" s="73"/>
    </row>
    <row r="154" spans="1:11" s="8" customFormat="1" ht="15" customHeight="1">
      <c r="A154" s="103" t="s">
        <v>95</v>
      </c>
      <c r="B154" s="10" t="s">
        <v>494</v>
      </c>
      <c r="C154" s="211">
        <f>SUM(D154:J154)</f>
        <v>0</v>
      </c>
      <c r="D154" s="117">
        <f aca="true" t="shared" si="57" ref="D154:J154">SUM(D160+D170)</f>
        <v>0</v>
      </c>
      <c r="E154" s="117">
        <f t="shared" si="57"/>
        <v>0</v>
      </c>
      <c r="F154" s="214">
        <f>SUM(F160+F170)</f>
        <v>0</v>
      </c>
      <c r="G154" s="215">
        <f t="shared" si="57"/>
        <v>0</v>
      </c>
      <c r="H154" s="215">
        <f t="shared" si="57"/>
        <v>0</v>
      </c>
      <c r="I154" s="215">
        <f t="shared" si="57"/>
        <v>0</v>
      </c>
      <c r="J154" s="22">
        <f t="shared" si="57"/>
        <v>0</v>
      </c>
      <c r="K154" s="73"/>
    </row>
    <row r="155" spans="1:11" s="8" customFormat="1" ht="15" customHeight="1">
      <c r="A155" s="103"/>
      <c r="B155" s="10"/>
      <c r="C155" s="211"/>
      <c r="D155" s="118"/>
      <c r="E155" s="118"/>
      <c r="F155" s="221"/>
      <c r="G155" s="216"/>
      <c r="H155" s="216"/>
      <c r="I155" s="216"/>
      <c r="J155" s="21"/>
      <c r="K155" s="73"/>
    </row>
    <row r="156" spans="1:11" s="8" customFormat="1" ht="15" customHeight="1">
      <c r="A156" s="167"/>
      <c r="B156" s="250" t="s">
        <v>497</v>
      </c>
      <c r="C156" s="251"/>
      <c r="D156" s="251"/>
      <c r="E156" s="251"/>
      <c r="F156" s="251"/>
      <c r="G156" s="251"/>
      <c r="H156" s="251"/>
      <c r="I156" s="251"/>
      <c r="J156" s="251"/>
      <c r="K156" s="252"/>
    </row>
    <row r="157" spans="1:11" s="39" customFormat="1" ht="45.75" customHeight="1">
      <c r="A157" s="103" t="s">
        <v>96</v>
      </c>
      <c r="B157" s="43" t="s">
        <v>241</v>
      </c>
      <c r="C157" s="211">
        <f>SUM(C158:C161)</f>
        <v>0</v>
      </c>
      <c r="D157" s="97">
        <f>SUM(D158:D160)</f>
        <v>0</v>
      </c>
      <c r="E157" s="97">
        <f aca="true" t="shared" si="58" ref="E157:J157">SUM(E158:E160)</f>
        <v>0</v>
      </c>
      <c r="F157" s="217">
        <f t="shared" si="58"/>
        <v>0</v>
      </c>
      <c r="G157" s="211">
        <f t="shared" si="58"/>
        <v>0</v>
      </c>
      <c r="H157" s="211">
        <f t="shared" si="58"/>
        <v>0</v>
      </c>
      <c r="I157" s="211">
        <f t="shared" si="58"/>
        <v>0</v>
      </c>
      <c r="J157" s="18">
        <f t="shared" si="58"/>
        <v>0</v>
      </c>
      <c r="K157" s="73"/>
    </row>
    <row r="158" spans="1:11" s="8" customFormat="1" ht="15" customHeight="1">
      <c r="A158" s="103" t="s">
        <v>97</v>
      </c>
      <c r="B158" s="10" t="s">
        <v>492</v>
      </c>
      <c r="C158" s="211">
        <f>SUM(D158:J158)</f>
        <v>0</v>
      </c>
      <c r="D158" s="152">
        <f>SUM(D163)</f>
        <v>0</v>
      </c>
      <c r="E158" s="152">
        <f aca="true" t="shared" si="59" ref="E158:J158">SUM(E163)</f>
        <v>0</v>
      </c>
      <c r="F158" s="229">
        <f t="shared" si="59"/>
        <v>0</v>
      </c>
      <c r="G158" s="212">
        <f t="shared" si="59"/>
        <v>0</v>
      </c>
      <c r="H158" s="212">
        <f t="shared" si="59"/>
        <v>0</v>
      </c>
      <c r="I158" s="212">
        <f t="shared" si="59"/>
        <v>0</v>
      </c>
      <c r="J158" s="17">
        <f t="shared" si="59"/>
        <v>0</v>
      </c>
      <c r="K158" s="73"/>
    </row>
    <row r="159" spans="1:11" s="8" customFormat="1" ht="15" customHeight="1">
      <c r="A159" s="103" t="s">
        <v>98</v>
      </c>
      <c r="B159" s="10" t="s">
        <v>493</v>
      </c>
      <c r="C159" s="211">
        <f>SUM(D159:J159)</f>
        <v>0</v>
      </c>
      <c r="D159" s="152">
        <f>SUM(D164)</f>
        <v>0</v>
      </c>
      <c r="E159" s="152">
        <f aca="true" t="shared" si="60" ref="E159:J159">SUM(E164)</f>
        <v>0</v>
      </c>
      <c r="F159" s="229">
        <f t="shared" si="60"/>
        <v>0</v>
      </c>
      <c r="G159" s="212">
        <f t="shared" si="60"/>
        <v>0</v>
      </c>
      <c r="H159" s="212">
        <f t="shared" si="60"/>
        <v>0</v>
      </c>
      <c r="I159" s="212">
        <f t="shared" si="60"/>
        <v>0</v>
      </c>
      <c r="J159" s="17">
        <f t="shared" si="60"/>
        <v>0</v>
      </c>
      <c r="K159" s="73"/>
    </row>
    <row r="160" spans="1:11" s="8" customFormat="1" ht="15" customHeight="1">
      <c r="A160" s="103" t="s">
        <v>99</v>
      </c>
      <c r="B160" s="10" t="s">
        <v>494</v>
      </c>
      <c r="C160" s="211">
        <f>SUM(D160:J160)</f>
        <v>0</v>
      </c>
      <c r="D160" s="152">
        <f aca="true" t="shared" si="61" ref="D160:J160">SUM(D165)</f>
        <v>0</v>
      </c>
      <c r="E160" s="152">
        <f t="shared" si="61"/>
        <v>0</v>
      </c>
      <c r="F160" s="229">
        <f t="shared" si="61"/>
        <v>0</v>
      </c>
      <c r="G160" s="212">
        <f t="shared" si="61"/>
        <v>0</v>
      </c>
      <c r="H160" s="212">
        <f t="shared" si="61"/>
        <v>0</v>
      </c>
      <c r="I160" s="212">
        <f t="shared" si="61"/>
        <v>0</v>
      </c>
      <c r="J160" s="17">
        <f t="shared" si="61"/>
        <v>0</v>
      </c>
      <c r="K160" s="73"/>
    </row>
    <row r="161" spans="1:11" s="8" customFormat="1" ht="15" customHeight="1">
      <c r="A161" s="103"/>
      <c r="B161" s="10"/>
      <c r="C161" s="211"/>
      <c r="D161" s="118"/>
      <c r="E161" s="118"/>
      <c r="F161" s="221"/>
      <c r="G161" s="216"/>
      <c r="H161" s="216"/>
      <c r="I161" s="216"/>
      <c r="J161" s="21"/>
      <c r="K161" s="73"/>
    </row>
    <row r="162" spans="1:11" s="8" customFormat="1" ht="50.25" customHeight="1">
      <c r="A162" s="103" t="s">
        <v>305</v>
      </c>
      <c r="B162" s="43" t="s">
        <v>294</v>
      </c>
      <c r="C162" s="211">
        <f>SUM(C163:C166)</f>
        <v>0</v>
      </c>
      <c r="D162" s="97">
        <f>SUM(D163:D165)</f>
        <v>0</v>
      </c>
      <c r="E162" s="97">
        <f aca="true" t="shared" si="62" ref="E162:J162">SUM(E163:E165)</f>
        <v>0</v>
      </c>
      <c r="F162" s="217">
        <f t="shared" si="62"/>
        <v>0</v>
      </c>
      <c r="G162" s="211">
        <f t="shared" si="62"/>
        <v>0</v>
      </c>
      <c r="H162" s="211">
        <f t="shared" si="62"/>
        <v>0</v>
      </c>
      <c r="I162" s="211">
        <f t="shared" si="62"/>
        <v>0</v>
      </c>
      <c r="J162" s="18">
        <f t="shared" si="62"/>
        <v>0</v>
      </c>
      <c r="K162" s="73" t="s">
        <v>369</v>
      </c>
    </row>
    <row r="163" spans="1:11" s="8" customFormat="1" ht="15" customHeight="1">
      <c r="A163" s="103" t="s">
        <v>100</v>
      </c>
      <c r="B163" s="10" t="s">
        <v>492</v>
      </c>
      <c r="C163" s="211">
        <f>SUM(D163:J163)</f>
        <v>0</v>
      </c>
      <c r="D163" s="111"/>
      <c r="E163" s="116"/>
      <c r="F163" s="205"/>
      <c r="G163" s="208"/>
      <c r="H163" s="208"/>
      <c r="I163" s="208"/>
      <c r="J163" s="15"/>
      <c r="K163" s="73"/>
    </row>
    <row r="164" spans="1:11" s="8" customFormat="1" ht="15" customHeight="1">
      <c r="A164" s="103" t="s">
        <v>306</v>
      </c>
      <c r="B164" s="10" t="s">
        <v>493</v>
      </c>
      <c r="C164" s="211">
        <f>SUM(D164:J164)</f>
        <v>0</v>
      </c>
      <c r="D164" s="111"/>
      <c r="E164" s="116"/>
      <c r="F164" s="205"/>
      <c r="G164" s="208"/>
      <c r="H164" s="208"/>
      <c r="I164" s="208"/>
      <c r="J164" s="15"/>
      <c r="K164" s="73"/>
    </row>
    <row r="165" spans="1:11" s="8" customFormat="1" ht="15" customHeight="1">
      <c r="A165" s="103" t="s">
        <v>307</v>
      </c>
      <c r="B165" s="10" t="s">
        <v>494</v>
      </c>
      <c r="C165" s="211">
        <f>SUM(D165:J165)</f>
        <v>0</v>
      </c>
      <c r="D165" s="111"/>
      <c r="E165" s="116"/>
      <c r="F165" s="205"/>
      <c r="G165" s="208"/>
      <c r="H165" s="208"/>
      <c r="I165" s="208"/>
      <c r="J165" s="15"/>
      <c r="K165" s="73"/>
    </row>
    <row r="166" spans="1:11" s="8" customFormat="1" ht="15" customHeight="1">
      <c r="A166" s="103"/>
      <c r="B166" s="10"/>
      <c r="C166" s="211"/>
      <c r="D166" s="118"/>
      <c r="E166" s="118"/>
      <c r="F166" s="221"/>
      <c r="G166" s="216"/>
      <c r="H166" s="216"/>
      <c r="I166" s="216"/>
      <c r="J166" s="21"/>
      <c r="K166" s="73"/>
    </row>
    <row r="167" spans="1:11" s="8" customFormat="1" ht="15" customHeight="1">
      <c r="A167" s="167"/>
      <c r="B167" s="250" t="s">
        <v>508</v>
      </c>
      <c r="C167" s="251"/>
      <c r="D167" s="251"/>
      <c r="E167" s="251"/>
      <c r="F167" s="251"/>
      <c r="G167" s="251"/>
      <c r="H167" s="251"/>
      <c r="I167" s="251"/>
      <c r="J167" s="251"/>
      <c r="K167" s="252"/>
    </row>
    <row r="168" spans="1:11" s="41" customFormat="1" ht="31.5">
      <c r="A168" s="99" t="s">
        <v>308</v>
      </c>
      <c r="B168" s="46" t="s">
        <v>242</v>
      </c>
      <c r="C168" s="217">
        <f aca="true" t="shared" si="63" ref="C168:J168">SUM(C169:C170)</f>
        <v>0</v>
      </c>
      <c r="D168" s="114">
        <f t="shared" si="63"/>
        <v>0</v>
      </c>
      <c r="E168" s="114">
        <f t="shared" si="63"/>
        <v>0</v>
      </c>
      <c r="F168" s="182">
        <f t="shared" si="63"/>
        <v>0</v>
      </c>
      <c r="G168" s="182">
        <f t="shared" si="63"/>
        <v>0</v>
      </c>
      <c r="H168" s="182">
        <f t="shared" si="63"/>
        <v>0</v>
      </c>
      <c r="I168" s="182">
        <f t="shared" si="63"/>
        <v>0</v>
      </c>
      <c r="J168" s="35">
        <f t="shared" si="63"/>
        <v>0</v>
      </c>
      <c r="K168" s="76"/>
    </row>
    <row r="169" spans="1:11" s="14" customFormat="1" ht="15" customHeight="1">
      <c r="A169" s="99" t="s">
        <v>309</v>
      </c>
      <c r="B169" s="10" t="s">
        <v>492</v>
      </c>
      <c r="C169" s="217">
        <f>SUM(D169:J169)</f>
        <v>0</v>
      </c>
      <c r="D169" s="121">
        <f>SUM(D173)</f>
        <v>0</v>
      </c>
      <c r="E169" s="121">
        <f aca="true" t="shared" si="64" ref="E169:J169">SUM(E173)</f>
        <v>0</v>
      </c>
      <c r="F169" s="213">
        <f t="shared" si="64"/>
        <v>0</v>
      </c>
      <c r="G169" s="213">
        <f t="shared" si="64"/>
        <v>0</v>
      </c>
      <c r="H169" s="213">
        <f t="shared" si="64"/>
        <v>0</v>
      </c>
      <c r="I169" s="213">
        <f t="shared" si="64"/>
        <v>0</v>
      </c>
      <c r="J169" s="29">
        <f t="shared" si="64"/>
        <v>0</v>
      </c>
      <c r="K169" s="77"/>
    </row>
    <row r="170" spans="1:11" s="14" customFormat="1" ht="15" customHeight="1">
      <c r="A170" s="99" t="s">
        <v>101</v>
      </c>
      <c r="B170" s="10" t="s">
        <v>494</v>
      </c>
      <c r="C170" s="217">
        <f>SUM(D170:J170)</f>
        <v>0</v>
      </c>
      <c r="D170" s="121">
        <f>SUM(D174)</f>
        <v>0</v>
      </c>
      <c r="E170" s="121">
        <f aca="true" t="shared" si="65" ref="E170:J170">SUM(E174)</f>
        <v>0</v>
      </c>
      <c r="F170" s="213">
        <f t="shared" si="65"/>
        <v>0</v>
      </c>
      <c r="G170" s="213">
        <f t="shared" si="65"/>
        <v>0</v>
      </c>
      <c r="H170" s="213">
        <f t="shared" si="65"/>
        <v>0</v>
      </c>
      <c r="I170" s="213">
        <f t="shared" si="65"/>
        <v>0</v>
      </c>
      <c r="J170" s="29">
        <f t="shared" si="65"/>
        <v>0</v>
      </c>
      <c r="K170" s="77"/>
    </row>
    <row r="171" spans="1:11" s="8" customFormat="1" ht="15" customHeight="1">
      <c r="A171" s="103"/>
      <c r="B171" s="10"/>
      <c r="C171" s="211"/>
      <c r="D171" s="118"/>
      <c r="E171" s="118"/>
      <c r="F171" s="221"/>
      <c r="G171" s="216"/>
      <c r="H171" s="216"/>
      <c r="I171" s="216"/>
      <c r="J171" s="21"/>
      <c r="K171" s="73"/>
    </row>
    <row r="172" spans="1:11" s="8" customFormat="1" ht="98.25" customHeight="1">
      <c r="A172" s="104" t="s">
        <v>102</v>
      </c>
      <c r="B172" s="122" t="s">
        <v>295</v>
      </c>
      <c r="C172" s="217">
        <f>SUM(D172:J172)</f>
        <v>0</v>
      </c>
      <c r="D172" s="114">
        <f aca="true" t="shared" si="66" ref="D172:J172">SUM(D173:D174)</f>
        <v>0</v>
      </c>
      <c r="E172" s="114">
        <f t="shared" si="66"/>
        <v>0</v>
      </c>
      <c r="F172" s="182">
        <f t="shared" si="66"/>
        <v>0</v>
      </c>
      <c r="G172" s="182">
        <f t="shared" si="66"/>
        <v>0</v>
      </c>
      <c r="H172" s="182">
        <f t="shared" si="66"/>
        <v>0</v>
      </c>
      <c r="I172" s="182">
        <f t="shared" si="66"/>
        <v>0</v>
      </c>
      <c r="J172" s="35">
        <f t="shared" si="66"/>
        <v>0</v>
      </c>
      <c r="K172" s="73" t="s">
        <v>369</v>
      </c>
    </row>
    <row r="173" spans="1:11" s="8" customFormat="1" ht="15" customHeight="1">
      <c r="A173" s="104" t="s">
        <v>103</v>
      </c>
      <c r="B173" s="10" t="s">
        <v>492</v>
      </c>
      <c r="C173" s="217">
        <f>SUM(D173:J173)</f>
        <v>0</v>
      </c>
      <c r="D173" s="114">
        <f>SUM(D176+D179)</f>
        <v>0</v>
      </c>
      <c r="E173" s="114">
        <f aca="true" t="shared" si="67" ref="E173:J173">SUM(E176+E179)</f>
        <v>0</v>
      </c>
      <c r="F173" s="182">
        <f t="shared" si="67"/>
        <v>0</v>
      </c>
      <c r="G173" s="182">
        <f t="shared" si="67"/>
        <v>0</v>
      </c>
      <c r="H173" s="182">
        <f t="shared" si="67"/>
        <v>0</v>
      </c>
      <c r="I173" s="182">
        <f t="shared" si="67"/>
        <v>0</v>
      </c>
      <c r="J173" s="35">
        <f t="shared" si="67"/>
        <v>0</v>
      </c>
      <c r="K173" s="77"/>
    </row>
    <row r="174" spans="1:11" s="8" customFormat="1" ht="15" customHeight="1">
      <c r="A174" s="104" t="s">
        <v>104</v>
      </c>
      <c r="B174" s="10" t="s">
        <v>494</v>
      </c>
      <c r="C174" s="217">
        <f>SUM(D174:J174)</f>
        <v>0</v>
      </c>
      <c r="D174" s="114">
        <f>SUM(D177+D180)</f>
        <v>0</v>
      </c>
      <c r="E174" s="114">
        <f aca="true" t="shared" si="68" ref="E174:J174">SUM(E177+E180)</f>
        <v>0</v>
      </c>
      <c r="F174" s="182">
        <f t="shared" si="68"/>
        <v>0</v>
      </c>
      <c r="G174" s="182">
        <f t="shared" si="68"/>
        <v>0</v>
      </c>
      <c r="H174" s="182">
        <f>SUM(H177+H180)</f>
        <v>0</v>
      </c>
      <c r="I174" s="182">
        <f t="shared" si="68"/>
        <v>0</v>
      </c>
      <c r="J174" s="35">
        <f t="shared" si="68"/>
        <v>0</v>
      </c>
      <c r="K174" s="77"/>
    </row>
    <row r="175" spans="1:11" s="8" customFormat="1" ht="15" customHeight="1">
      <c r="A175" s="104"/>
      <c r="B175" s="93" t="s">
        <v>252</v>
      </c>
      <c r="C175" s="217"/>
      <c r="D175" s="95"/>
      <c r="E175" s="95"/>
      <c r="F175" s="214"/>
      <c r="G175" s="214"/>
      <c r="H175" s="214"/>
      <c r="I175" s="214"/>
      <c r="J175" s="34"/>
      <c r="K175" s="77"/>
    </row>
    <row r="176" spans="1:11" s="8" customFormat="1" ht="15" customHeight="1">
      <c r="A176" s="104" t="s">
        <v>105</v>
      </c>
      <c r="B176" s="10" t="s">
        <v>492</v>
      </c>
      <c r="C176" s="217">
        <f>SUM(D176:J176)</f>
        <v>0</v>
      </c>
      <c r="D176" s="95"/>
      <c r="E176" s="95"/>
      <c r="F176" s="214">
        <f>500-500</f>
        <v>0</v>
      </c>
      <c r="G176" s="214"/>
      <c r="H176" s="214"/>
      <c r="I176" s="214"/>
      <c r="J176" s="34"/>
      <c r="K176" s="77"/>
    </row>
    <row r="177" spans="1:11" s="8" customFormat="1" ht="15" customHeight="1">
      <c r="A177" s="104" t="s">
        <v>106</v>
      </c>
      <c r="B177" s="10" t="s">
        <v>494</v>
      </c>
      <c r="C177" s="217">
        <f>SUM(D177:J177)</f>
        <v>0</v>
      </c>
      <c r="D177" s="95"/>
      <c r="E177" s="95"/>
      <c r="F177" s="214"/>
      <c r="G177" s="214"/>
      <c r="H177" s="214"/>
      <c r="I177" s="214"/>
      <c r="J177" s="34"/>
      <c r="K177" s="77"/>
    </row>
    <row r="178" spans="1:11" s="8" customFormat="1" ht="35.25" customHeight="1">
      <c r="A178" s="104"/>
      <c r="B178" s="93" t="s">
        <v>253</v>
      </c>
      <c r="C178" s="217"/>
      <c r="D178" s="95"/>
      <c r="E178" s="95"/>
      <c r="F178" s="214"/>
      <c r="G178" s="214"/>
      <c r="H178" s="214"/>
      <c r="I178" s="214"/>
      <c r="J178" s="34"/>
      <c r="K178" s="77"/>
    </row>
    <row r="179" spans="1:11" s="8" customFormat="1" ht="15" customHeight="1">
      <c r="A179" s="104" t="s">
        <v>107</v>
      </c>
      <c r="B179" s="10" t="s">
        <v>492</v>
      </c>
      <c r="C179" s="217">
        <f>SUM(D179:J179)</f>
        <v>0</v>
      </c>
      <c r="D179" s="95"/>
      <c r="E179" s="95"/>
      <c r="F179" s="214">
        <f>4500-4500</f>
        <v>0</v>
      </c>
      <c r="G179" s="214"/>
      <c r="H179" s="214"/>
      <c r="I179" s="214"/>
      <c r="J179" s="34"/>
      <c r="K179" s="77"/>
    </row>
    <row r="180" spans="1:11" s="8" customFormat="1" ht="15" customHeight="1">
      <c r="A180" s="104" t="s">
        <v>108</v>
      </c>
      <c r="B180" s="10" t="s">
        <v>494</v>
      </c>
      <c r="C180" s="217">
        <f>SUM(D180:J180)</f>
        <v>0</v>
      </c>
      <c r="D180" s="95"/>
      <c r="E180" s="95"/>
      <c r="F180" s="214"/>
      <c r="G180" s="214"/>
      <c r="H180" s="214"/>
      <c r="I180" s="214"/>
      <c r="J180" s="34"/>
      <c r="K180" s="77"/>
    </row>
    <row r="181" spans="1:11" s="8" customFormat="1" ht="15" customHeight="1">
      <c r="A181" s="103"/>
      <c r="B181" s="10"/>
      <c r="C181" s="210"/>
      <c r="D181" s="155"/>
      <c r="E181" s="155"/>
      <c r="F181" s="121"/>
      <c r="G181" s="155"/>
      <c r="H181" s="155"/>
      <c r="I181" s="155"/>
      <c r="J181" s="19"/>
      <c r="K181" s="73"/>
    </row>
    <row r="182" spans="1:11" s="8" customFormat="1" ht="15" customHeight="1">
      <c r="A182" s="166"/>
      <c r="B182" s="241" t="s">
        <v>500</v>
      </c>
      <c r="C182" s="242"/>
      <c r="D182" s="242"/>
      <c r="E182" s="242"/>
      <c r="F182" s="242"/>
      <c r="G182" s="242"/>
      <c r="H182" s="242"/>
      <c r="I182" s="242"/>
      <c r="J182" s="242"/>
      <c r="K182" s="243"/>
    </row>
    <row r="183" spans="1:11" s="39" customFormat="1" ht="22.5" customHeight="1">
      <c r="A183" s="103" t="s">
        <v>109</v>
      </c>
      <c r="B183" s="43" t="s">
        <v>501</v>
      </c>
      <c r="C183" s="211">
        <f>SUM(D183:J183)</f>
        <v>2307450.66366</v>
      </c>
      <c r="D183" s="97">
        <f>SUM(D184:D187)</f>
        <v>364991.669</v>
      </c>
      <c r="E183" s="97">
        <f aca="true" t="shared" si="69" ref="E183:J183">SUM(E184:E187)</f>
        <v>311126.389</v>
      </c>
      <c r="F183" s="217">
        <f>SUM(F184:F187)</f>
        <v>334841.80566</v>
      </c>
      <c r="G183" s="211">
        <f t="shared" si="69"/>
        <v>311948</v>
      </c>
      <c r="H183" s="211">
        <f t="shared" si="69"/>
        <v>306232.4</v>
      </c>
      <c r="I183" s="211">
        <f t="shared" si="69"/>
        <v>306312.4</v>
      </c>
      <c r="J183" s="18">
        <f t="shared" si="69"/>
        <v>371998</v>
      </c>
      <c r="K183" s="72"/>
    </row>
    <row r="184" spans="1:11" s="8" customFormat="1" ht="15" customHeight="1">
      <c r="A184" s="103" t="s">
        <v>110</v>
      </c>
      <c r="B184" s="10" t="s">
        <v>492</v>
      </c>
      <c r="C184" s="211">
        <f>SUM(D184:J184)</f>
        <v>847075.53766</v>
      </c>
      <c r="D184" s="96">
        <f aca="true" t="shared" si="70" ref="D184:J184">SUM(D190+D201+D231+D242+D246+D261+D272+D276+D277+D283+D290)</f>
        <v>163755.794</v>
      </c>
      <c r="E184" s="96">
        <f t="shared" si="70"/>
        <v>130901.93800000001</v>
      </c>
      <c r="F184" s="221">
        <f t="shared" si="70"/>
        <v>102999.00566000002</v>
      </c>
      <c r="G184" s="221">
        <f t="shared" si="70"/>
        <v>104575</v>
      </c>
      <c r="H184" s="221">
        <f t="shared" si="70"/>
        <v>98859.40000000001</v>
      </c>
      <c r="I184" s="221">
        <f t="shared" si="70"/>
        <v>98939.4</v>
      </c>
      <c r="J184" s="33">
        <f t="shared" si="70"/>
        <v>147045</v>
      </c>
      <c r="K184" s="79"/>
    </row>
    <row r="185" spans="1:11" s="8" customFormat="1" ht="15" customHeight="1">
      <c r="A185" s="103" t="s">
        <v>111</v>
      </c>
      <c r="B185" s="10" t="s">
        <v>493</v>
      </c>
      <c r="C185" s="211">
        <f>SUM(D185:J185)</f>
        <v>7508.806</v>
      </c>
      <c r="D185" s="96">
        <f aca="true" t="shared" si="71" ref="D185:J185">SUM(D232+D263+D292)</f>
        <v>1155.675</v>
      </c>
      <c r="E185" s="96">
        <f t="shared" si="71"/>
        <v>2441.431</v>
      </c>
      <c r="F185" s="221">
        <f t="shared" si="71"/>
        <v>3911.7</v>
      </c>
      <c r="G185" s="221">
        <f t="shared" si="71"/>
        <v>0</v>
      </c>
      <c r="H185" s="221">
        <f t="shared" si="71"/>
        <v>0</v>
      </c>
      <c r="I185" s="221">
        <f t="shared" si="71"/>
        <v>0</v>
      </c>
      <c r="J185" s="33">
        <f t="shared" si="71"/>
        <v>0</v>
      </c>
      <c r="K185" s="73"/>
    </row>
    <row r="186" spans="1:11" s="8" customFormat="1" ht="15" customHeight="1">
      <c r="A186" s="103" t="s">
        <v>112</v>
      </c>
      <c r="B186" s="10" t="s">
        <v>494</v>
      </c>
      <c r="C186" s="211">
        <f>SUM(D186:J186)</f>
        <v>1434168.92</v>
      </c>
      <c r="D186" s="96">
        <f aca="true" t="shared" si="72" ref="D186:J186">SUM(D191+D202+D233+D239+D253+D258+D262+D273+D278+D284+D291)</f>
        <v>195882.8</v>
      </c>
      <c r="E186" s="96">
        <f t="shared" si="72"/>
        <v>177783.02000000002</v>
      </c>
      <c r="F186" s="221">
        <f t="shared" si="72"/>
        <v>226231.1</v>
      </c>
      <c r="G186" s="221">
        <f t="shared" si="72"/>
        <v>204173</v>
      </c>
      <c r="H186" s="221">
        <f t="shared" si="72"/>
        <v>204173</v>
      </c>
      <c r="I186" s="221">
        <f t="shared" si="72"/>
        <v>204173</v>
      </c>
      <c r="J186" s="33">
        <f t="shared" si="72"/>
        <v>221753</v>
      </c>
      <c r="K186" s="73"/>
    </row>
    <row r="187" spans="1:11" s="8" customFormat="1" ht="15" customHeight="1">
      <c r="A187" s="103" t="s">
        <v>113</v>
      </c>
      <c r="B187" s="12" t="s">
        <v>495</v>
      </c>
      <c r="C187" s="211">
        <f>SUM(D187:J187)</f>
        <v>18697.4</v>
      </c>
      <c r="D187" s="96">
        <f aca="true" t="shared" si="73" ref="D187:J187">SUM(D243+D250)</f>
        <v>4197.4</v>
      </c>
      <c r="E187" s="96">
        <f t="shared" si="73"/>
        <v>0</v>
      </c>
      <c r="F187" s="221">
        <f t="shared" si="73"/>
        <v>1700</v>
      </c>
      <c r="G187" s="221">
        <f t="shared" si="73"/>
        <v>3200</v>
      </c>
      <c r="H187" s="221">
        <f t="shared" si="73"/>
        <v>3200</v>
      </c>
      <c r="I187" s="221">
        <f t="shared" si="73"/>
        <v>3200</v>
      </c>
      <c r="J187" s="33">
        <f t="shared" si="73"/>
        <v>3200</v>
      </c>
      <c r="K187" s="73"/>
    </row>
    <row r="188" spans="1:11" s="8" customFormat="1" ht="15" customHeight="1">
      <c r="A188" s="103"/>
      <c r="B188" s="12"/>
      <c r="C188" s="211"/>
      <c r="D188" s="117"/>
      <c r="E188" s="117"/>
      <c r="F188" s="214"/>
      <c r="G188" s="215"/>
      <c r="H188" s="215"/>
      <c r="I188" s="215"/>
      <c r="J188" s="22"/>
      <c r="K188" s="73"/>
    </row>
    <row r="189" spans="1:11" s="39" customFormat="1" ht="50.25" customHeight="1">
      <c r="A189" s="104" t="s">
        <v>114</v>
      </c>
      <c r="B189" s="43" t="s">
        <v>296</v>
      </c>
      <c r="C189" s="210">
        <f>SUM(C190:C191)</f>
        <v>11913.233</v>
      </c>
      <c r="D189" s="115">
        <f>SUM(D190:D191)</f>
        <v>0</v>
      </c>
      <c r="E189" s="115">
        <f aca="true" t="shared" si="74" ref="E189:J189">SUM(E190:E191)</f>
        <v>0</v>
      </c>
      <c r="F189" s="182">
        <f t="shared" si="74"/>
        <v>970.378</v>
      </c>
      <c r="G189" s="210">
        <f t="shared" si="74"/>
        <v>2392.855</v>
      </c>
      <c r="H189" s="210">
        <f t="shared" si="74"/>
        <v>3550</v>
      </c>
      <c r="I189" s="210">
        <f t="shared" si="74"/>
        <v>2000</v>
      </c>
      <c r="J189" s="16">
        <f t="shared" si="74"/>
        <v>3000</v>
      </c>
      <c r="K189" s="77" t="s">
        <v>371</v>
      </c>
    </row>
    <row r="190" spans="1:11" s="8" customFormat="1" ht="15" customHeight="1">
      <c r="A190" s="104" t="s">
        <v>115</v>
      </c>
      <c r="B190" s="10" t="s">
        <v>492</v>
      </c>
      <c r="C190" s="211">
        <f>SUM(D190:J190)</f>
        <v>11913.233</v>
      </c>
      <c r="D190" s="155">
        <f aca="true" t="shared" si="75" ref="D190:J190">SUM(D193:D198)</f>
        <v>0</v>
      </c>
      <c r="E190" s="155">
        <f t="shared" si="75"/>
        <v>0</v>
      </c>
      <c r="F190" s="213">
        <f t="shared" si="75"/>
        <v>970.378</v>
      </c>
      <c r="G190" s="220">
        <f t="shared" si="75"/>
        <v>2392.855</v>
      </c>
      <c r="H190" s="220">
        <f t="shared" si="75"/>
        <v>3550</v>
      </c>
      <c r="I190" s="220">
        <f t="shared" si="75"/>
        <v>2000</v>
      </c>
      <c r="J190" s="19">
        <f t="shared" si="75"/>
        <v>3000</v>
      </c>
      <c r="K190" s="73"/>
    </row>
    <row r="191" spans="1:11" s="8" customFormat="1" ht="15" customHeight="1">
      <c r="A191" s="104" t="s">
        <v>116</v>
      </c>
      <c r="B191" s="10" t="s">
        <v>494</v>
      </c>
      <c r="C191" s="211">
        <f aca="true" t="shared" si="76" ref="C191:C198">SUM(D191:J191)</f>
        <v>0</v>
      </c>
      <c r="D191" s="155"/>
      <c r="E191" s="155"/>
      <c r="F191" s="213"/>
      <c r="G191" s="220"/>
      <c r="H191" s="220"/>
      <c r="I191" s="220"/>
      <c r="J191" s="19"/>
      <c r="K191" s="73"/>
    </row>
    <row r="192" spans="1:11" s="13" customFormat="1" ht="15" customHeight="1">
      <c r="A192" s="103"/>
      <c r="B192" s="12" t="s">
        <v>504</v>
      </c>
      <c r="C192" s="211">
        <f t="shared" si="76"/>
        <v>0</v>
      </c>
      <c r="D192" s="154"/>
      <c r="E192" s="154"/>
      <c r="F192" s="218"/>
      <c r="G192" s="219"/>
      <c r="H192" s="219"/>
      <c r="I192" s="219"/>
      <c r="J192" s="20"/>
      <c r="K192" s="75"/>
    </row>
    <row r="193" spans="1:11" s="8" customFormat="1" ht="15" customHeight="1">
      <c r="A193" s="103" t="s">
        <v>117</v>
      </c>
      <c r="B193" s="10" t="s">
        <v>514</v>
      </c>
      <c r="C193" s="211">
        <f t="shared" si="76"/>
        <v>3550</v>
      </c>
      <c r="D193" s="155"/>
      <c r="E193" s="155"/>
      <c r="F193" s="213"/>
      <c r="G193" s="220"/>
      <c r="H193" s="220">
        <f>3550</f>
        <v>3550</v>
      </c>
      <c r="I193" s="220"/>
      <c r="J193" s="19"/>
      <c r="K193" s="73"/>
    </row>
    <row r="194" spans="1:11" s="8" customFormat="1" ht="15" customHeight="1">
      <c r="A194" s="103" t="s">
        <v>118</v>
      </c>
      <c r="B194" s="10" t="s">
        <v>515</v>
      </c>
      <c r="C194" s="211">
        <f t="shared" si="76"/>
        <v>2000</v>
      </c>
      <c r="D194" s="155"/>
      <c r="E194" s="155"/>
      <c r="F194" s="213"/>
      <c r="G194" s="220"/>
      <c r="H194" s="220"/>
      <c r="I194" s="220">
        <f>2000</f>
        <v>2000</v>
      </c>
      <c r="J194" s="19"/>
      <c r="K194" s="73"/>
    </row>
    <row r="195" spans="1:11" s="8" customFormat="1" ht="15" customHeight="1">
      <c r="A195" s="103" t="s">
        <v>119</v>
      </c>
      <c r="B195" s="10" t="s">
        <v>513</v>
      </c>
      <c r="C195" s="211">
        <f t="shared" si="76"/>
        <v>1863.2330000000002</v>
      </c>
      <c r="D195" s="155"/>
      <c r="E195" s="155"/>
      <c r="F195" s="213">
        <f>970.378</f>
        <v>970.378</v>
      </c>
      <c r="G195" s="220">
        <f>892.855</f>
        <v>892.855</v>
      </c>
      <c r="H195" s="220"/>
      <c r="I195" s="220"/>
      <c r="J195" s="19"/>
      <c r="K195" s="73"/>
    </row>
    <row r="196" spans="1:11" s="8" customFormat="1" ht="15" customHeight="1">
      <c r="A196" s="103" t="s">
        <v>120</v>
      </c>
      <c r="B196" s="10" t="s">
        <v>46</v>
      </c>
      <c r="C196" s="211">
        <f t="shared" si="76"/>
        <v>1500</v>
      </c>
      <c r="D196" s="155"/>
      <c r="E196" s="155"/>
      <c r="F196" s="213"/>
      <c r="G196" s="220">
        <v>1500</v>
      </c>
      <c r="H196" s="220"/>
      <c r="I196" s="220"/>
      <c r="J196" s="19"/>
      <c r="K196" s="73"/>
    </row>
    <row r="197" spans="1:11" s="8" customFormat="1" ht="15" customHeight="1">
      <c r="A197" s="103" t="s">
        <v>121</v>
      </c>
      <c r="B197" s="10" t="s">
        <v>343</v>
      </c>
      <c r="C197" s="211">
        <f t="shared" si="76"/>
        <v>0</v>
      </c>
      <c r="D197" s="155"/>
      <c r="E197" s="155"/>
      <c r="F197" s="213"/>
      <c r="G197" s="220"/>
      <c r="H197" s="220"/>
      <c r="I197" s="220"/>
      <c r="J197" s="19"/>
      <c r="K197" s="73"/>
    </row>
    <row r="198" spans="1:11" s="8" customFormat="1" ht="15" customHeight="1">
      <c r="A198" s="103" t="s">
        <v>122</v>
      </c>
      <c r="B198" s="10" t="s">
        <v>47</v>
      </c>
      <c r="C198" s="211">
        <f t="shared" si="76"/>
        <v>3000</v>
      </c>
      <c r="D198" s="155"/>
      <c r="E198" s="155"/>
      <c r="F198" s="213"/>
      <c r="G198" s="220"/>
      <c r="H198" s="220"/>
      <c r="I198" s="220"/>
      <c r="J198" s="19">
        <v>3000</v>
      </c>
      <c r="K198" s="73"/>
    </row>
    <row r="199" spans="1:11" s="8" customFormat="1" ht="15" customHeight="1">
      <c r="A199" s="103"/>
      <c r="B199" s="10"/>
      <c r="C199" s="211"/>
      <c r="D199" s="155"/>
      <c r="E199" s="155"/>
      <c r="F199" s="213"/>
      <c r="G199" s="220"/>
      <c r="H199" s="220"/>
      <c r="I199" s="220"/>
      <c r="J199" s="19"/>
      <c r="K199" s="73"/>
    </row>
    <row r="200" spans="1:11" s="39" customFormat="1" ht="94.5">
      <c r="A200" s="103" t="s">
        <v>123</v>
      </c>
      <c r="B200" s="43" t="s">
        <v>297</v>
      </c>
      <c r="C200" s="210">
        <f>SUM(C201:C202)</f>
        <v>31025.785</v>
      </c>
      <c r="D200" s="115">
        <f aca="true" t="shared" si="77" ref="D200:J200">SUM(D201:D202)</f>
        <v>8429.987000000001</v>
      </c>
      <c r="E200" s="114">
        <f>SUM(E201:E202)</f>
        <v>8229.652999999998</v>
      </c>
      <c r="F200" s="182">
        <f t="shared" si="77"/>
        <v>4359</v>
      </c>
      <c r="G200" s="210">
        <f t="shared" si="77"/>
        <v>10007.145</v>
      </c>
      <c r="H200" s="210">
        <f t="shared" si="77"/>
        <v>0</v>
      </c>
      <c r="I200" s="210">
        <f t="shared" si="77"/>
        <v>0</v>
      </c>
      <c r="J200" s="16">
        <f t="shared" si="77"/>
        <v>0</v>
      </c>
      <c r="K200" s="77" t="s">
        <v>475</v>
      </c>
    </row>
    <row r="201" spans="1:11" s="8" customFormat="1" ht="15" customHeight="1">
      <c r="A201" s="103" t="s">
        <v>124</v>
      </c>
      <c r="B201" s="10" t="s">
        <v>492</v>
      </c>
      <c r="C201" s="211">
        <f>SUM(D201:J201)</f>
        <v>29001.985</v>
      </c>
      <c r="D201" s="95">
        <v>7281.987</v>
      </c>
      <c r="E201" s="95">
        <f aca="true" t="shared" si="78" ref="E201:J201">E204+E219</f>
        <v>7353.852999999999</v>
      </c>
      <c r="F201" s="214">
        <f t="shared" si="78"/>
        <v>4359</v>
      </c>
      <c r="G201" s="214">
        <f t="shared" si="78"/>
        <v>10007.145</v>
      </c>
      <c r="H201" s="214">
        <f t="shared" si="78"/>
        <v>0</v>
      </c>
      <c r="I201" s="214">
        <f t="shared" si="78"/>
        <v>0</v>
      </c>
      <c r="J201" s="95">
        <f t="shared" si="78"/>
        <v>0</v>
      </c>
      <c r="K201" s="79"/>
    </row>
    <row r="202" spans="1:11" s="8" customFormat="1" ht="15" customHeight="1">
      <c r="A202" s="103" t="s">
        <v>125</v>
      </c>
      <c r="B202" s="10" t="s">
        <v>494</v>
      </c>
      <c r="C202" s="211">
        <f>SUM(D202:J202)</f>
        <v>2023.8</v>
      </c>
      <c r="D202" s="95">
        <v>1148</v>
      </c>
      <c r="E202" s="95">
        <v>875.8</v>
      </c>
      <c r="F202" s="214"/>
      <c r="G202" s="215"/>
      <c r="H202" s="215"/>
      <c r="I202" s="215"/>
      <c r="J202" s="22"/>
      <c r="K202" s="79"/>
    </row>
    <row r="203" spans="1:11" s="39" customFormat="1" ht="15" customHeight="1">
      <c r="A203" s="100"/>
      <c r="B203" s="94" t="s">
        <v>57</v>
      </c>
      <c r="C203" s="211">
        <f>SUM(D203:J203)</f>
        <v>27611.585000000003</v>
      </c>
      <c r="D203" s="114">
        <f aca="true" t="shared" si="79" ref="D203:J203">SUM(D205:D218)</f>
        <v>8429.987000000001</v>
      </c>
      <c r="E203" s="114">
        <f>SUM(E205:E218)</f>
        <v>7174.4529999999995</v>
      </c>
      <c r="F203" s="182">
        <f>SUM(F205:F218)</f>
        <v>2400</v>
      </c>
      <c r="G203" s="182">
        <f>SUM(G205:G218)</f>
        <v>9607.145</v>
      </c>
      <c r="H203" s="182">
        <f t="shared" si="79"/>
        <v>0</v>
      </c>
      <c r="I203" s="182">
        <f t="shared" si="79"/>
        <v>0</v>
      </c>
      <c r="J203" s="35">
        <f t="shared" si="79"/>
        <v>0</v>
      </c>
      <c r="K203" s="74"/>
    </row>
    <row r="204" spans="1:11" s="13" customFormat="1" ht="20.25" customHeight="1">
      <c r="A204" s="100"/>
      <c r="B204" s="12" t="s">
        <v>58</v>
      </c>
      <c r="C204" s="231">
        <f>SUM(D204:J204)</f>
        <v>25587.785</v>
      </c>
      <c r="D204" s="154">
        <f>D203-1148</f>
        <v>7281.987000000001</v>
      </c>
      <c r="E204" s="153">
        <f>E203-875.8</f>
        <v>6298.652999999999</v>
      </c>
      <c r="F204" s="218">
        <f>F203</f>
        <v>2400</v>
      </c>
      <c r="G204" s="219">
        <f>G203</f>
        <v>9607.145</v>
      </c>
      <c r="H204" s="219">
        <f>H203</f>
        <v>0</v>
      </c>
      <c r="I204" s="219">
        <f>I203</f>
        <v>0</v>
      </c>
      <c r="J204" s="20">
        <f>J203</f>
        <v>0</v>
      </c>
      <c r="K204" s="75"/>
    </row>
    <row r="205" spans="1:11" s="13" customFormat="1" ht="15" customHeight="1">
      <c r="A205" s="103" t="s">
        <v>126</v>
      </c>
      <c r="B205" s="28" t="s">
        <v>367</v>
      </c>
      <c r="C205" s="217">
        <f aca="true" t="shared" si="80" ref="C205:C218">SUM(D205:J205)</f>
        <v>5662.9439999999995</v>
      </c>
      <c r="D205" s="95">
        <v>2785.291</v>
      </c>
      <c r="E205" s="124">
        <f>2877.653</f>
        <v>2877.653</v>
      </c>
      <c r="F205" s="213">
        <f>2300-186.99-1328.01-785</f>
        <v>0</v>
      </c>
      <c r="G205" s="223"/>
      <c r="H205" s="223"/>
      <c r="I205" s="223"/>
      <c r="J205" s="123"/>
      <c r="K205" s="75"/>
    </row>
    <row r="206" spans="1:11" s="13" customFormat="1" ht="15" customHeight="1">
      <c r="A206" s="103" t="s">
        <v>127</v>
      </c>
      <c r="B206" s="12" t="s">
        <v>48</v>
      </c>
      <c r="C206" s="211">
        <f t="shared" si="80"/>
        <v>1998.382</v>
      </c>
      <c r="D206" s="95">
        <v>1998.382</v>
      </c>
      <c r="E206" s="153"/>
      <c r="F206" s="218"/>
      <c r="G206" s="219"/>
      <c r="H206" s="219"/>
      <c r="I206" s="219"/>
      <c r="J206" s="20"/>
      <c r="K206" s="75"/>
    </row>
    <row r="207" spans="1:11" s="8" customFormat="1" ht="15.75">
      <c r="A207" s="103" t="s">
        <v>128</v>
      </c>
      <c r="B207" s="10" t="s">
        <v>516</v>
      </c>
      <c r="C207" s="211">
        <f t="shared" si="80"/>
        <v>739</v>
      </c>
      <c r="D207" s="121">
        <f>1000-535</f>
        <v>465</v>
      </c>
      <c r="E207" s="121"/>
      <c r="F207" s="213">
        <f>274</f>
        <v>274</v>
      </c>
      <c r="G207" s="220"/>
      <c r="H207" s="220"/>
      <c r="I207" s="220"/>
      <c r="J207" s="19"/>
      <c r="K207" s="73"/>
    </row>
    <row r="208" spans="1:11" s="8" customFormat="1" ht="15.75">
      <c r="A208" s="103" t="s">
        <v>129</v>
      </c>
      <c r="B208" s="10" t="s">
        <v>517</v>
      </c>
      <c r="C208" s="211">
        <f t="shared" si="80"/>
        <v>5031.314</v>
      </c>
      <c r="D208" s="121">
        <f>1383.314+1148</f>
        <v>2531.3140000000003</v>
      </c>
      <c r="E208" s="121"/>
      <c r="F208" s="213"/>
      <c r="G208" s="220">
        <v>2500</v>
      </c>
      <c r="H208" s="220"/>
      <c r="I208" s="220"/>
      <c r="J208" s="19"/>
      <c r="K208" s="73"/>
    </row>
    <row r="209" spans="1:11" s="8" customFormat="1" ht="15.75">
      <c r="A209" s="103" t="s">
        <v>130</v>
      </c>
      <c r="B209" s="10" t="s">
        <v>509</v>
      </c>
      <c r="C209" s="211">
        <f t="shared" si="80"/>
        <v>909</v>
      </c>
      <c r="D209" s="121"/>
      <c r="E209" s="121">
        <f>875.8+624.2-591</f>
        <v>909</v>
      </c>
      <c r="F209" s="213"/>
      <c r="G209" s="220"/>
      <c r="H209" s="220"/>
      <c r="I209" s="220"/>
      <c r="J209" s="19"/>
      <c r="K209" s="73"/>
    </row>
    <row r="210" spans="1:11" s="8" customFormat="1" ht="15.75">
      <c r="A210" s="103" t="s">
        <v>131</v>
      </c>
      <c r="B210" s="32" t="s">
        <v>344</v>
      </c>
      <c r="C210" s="211">
        <f t="shared" si="80"/>
        <v>3387.8</v>
      </c>
      <c r="D210" s="121"/>
      <c r="E210" s="121">
        <f>2000+512+875.8</f>
        <v>3387.8</v>
      </c>
      <c r="F210" s="213"/>
      <c r="G210" s="220"/>
      <c r="H210" s="220"/>
      <c r="I210" s="220"/>
      <c r="J210" s="19"/>
      <c r="K210" s="73"/>
    </row>
    <row r="211" spans="1:11" s="8" customFormat="1" ht="15" customHeight="1">
      <c r="A211" s="103" t="s">
        <v>132</v>
      </c>
      <c r="B211" s="10" t="s">
        <v>390</v>
      </c>
      <c r="C211" s="211">
        <f t="shared" si="80"/>
        <v>2100</v>
      </c>
      <c r="D211" s="121"/>
      <c r="E211" s="121"/>
      <c r="F211" s="213"/>
      <c r="G211" s="220">
        <f>2100</f>
        <v>2100</v>
      </c>
      <c r="H211" s="220"/>
      <c r="I211" s="220"/>
      <c r="J211" s="19"/>
      <c r="K211" s="73"/>
    </row>
    <row r="212" spans="1:11" s="8" customFormat="1" ht="15" customHeight="1">
      <c r="A212" s="103" t="s">
        <v>133</v>
      </c>
      <c r="B212" s="32" t="s">
        <v>368</v>
      </c>
      <c r="C212" s="217">
        <f t="shared" si="80"/>
        <v>1326</v>
      </c>
      <c r="D212" s="121"/>
      <c r="E212" s="121"/>
      <c r="F212" s="213">
        <f>1300+26</f>
        <v>1326</v>
      </c>
      <c r="G212" s="220"/>
      <c r="H212" s="220"/>
      <c r="I212" s="220"/>
      <c r="J212" s="19"/>
      <c r="K212" s="73"/>
    </row>
    <row r="213" spans="1:11" s="8" customFormat="1" ht="15" customHeight="1">
      <c r="A213" s="103" t="s">
        <v>134</v>
      </c>
      <c r="B213" s="10" t="s">
        <v>333</v>
      </c>
      <c r="C213" s="211">
        <f t="shared" si="80"/>
        <v>800</v>
      </c>
      <c r="D213" s="121"/>
      <c r="E213" s="121"/>
      <c r="F213" s="213">
        <f>800</f>
        <v>800</v>
      </c>
      <c r="G213" s="220"/>
      <c r="H213" s="220"/>
      <c r="I213" s="220"/>
      <c r="J213" s="19"/>
      <c r="K213" s="73"/>
    </row>
    <row r="214" spans="1:11" s="8" customFormat="1" ht="15" customHeight="1">
      <c r="A214" s="103" t="s">
        <v>135</v>
      </c>
      <c r="B214" s="203" t="s">
        <v>454</v>
      </c>
      <c r="C214" s="211">
        <f t="shared" si="80"/>
        <v>0</v>
      </c>
      <c r="D214" s="121"/>
      <c r="E214" s="121"/>
      <c r="F214" s="213"/>
      <c r="G214" s="220"/>
      <c r="H214" s="220"/>
      <c r="I214" s="213">
        <f>5000-5000</f>
        <v>0</v>
      </c>
      <c r="J214" s="19"/>
      <c r="K214" s="73"/>
    </row>
    <row r="215" spans="1:11" s="8" customFormat="1" ht="15" customHeight="1">
      <c r="A215" s="103" t="s">
        <v>136</v>
      </c>
      <c r="B215" s="10" t="s">
        <v>20</v>
      </c>
      <c r="C215" s="211">
        <f t="shared" si="80"/>
        <v>0</v>
      </c>
      <c r="D215" s="121"/>
      <c r="E215" s="121"/>
      <c r="F215" s="213"/>
      <c r="G215" s="220"/>
      <c r="H215" s="220"/>
      <c r="I215" s="220"/>
      <c r="J215" s="19"/>
      <c r="K215" s="73"/>
    </row>
    <row r="216" spans="1:11" s="8" customFormat="1" ht="15" customHeight="1">
      <c r="A216" s="103" t="s">
        <v>137</v>
      </c>
      <c r="B216" s="203" t="s">
        <v>455</v>
      </c>
      <c r="C216" s="211">
        <f>SUM(D216:J216)</f>
        <v>2007.145</v>
      </c>
      <c r="D216" s="121"/>
      <c r="E216" s="121"/>
      <c r="F216" s="213"/>
      <c r="G216" s="220">
        <f>2007.145</f>
        <v>2007.145</v>
      </c>
      <c r="H216" s="220"/>
      <c r="I216" s="220"/>
      <c r="J216" s="19"/>
      <c r="K216" s="73"/>
    </row>
    <row r="217" spans="1:11" s="8" customFormat="1" ht="15" customHeight="1">
      <c r="A217" s="103" t="s">
        <v>138</v>
      </c>
      <c r="B217" s="10" t="s">
        <v>391</v>
      </c>
      <c r="C217" s="211">
        <f t="shared" si="80"/>
        <v>3000</v>
      </c>
      <c r="D217" s="121"/>
      <c r="E217" s="121"/>
      <c r="F217" s="213"/>
      <c r="G217" s="220">
        <f>3000</f>
        <v>3000</v>
      </c>
      <c r="H217" s="220"/>
      <c r="I217" s="220"/>
      <c r="J217" s="19"/>
      <c r="K217" s="73"/>
    </row>
    <row r="218" spans="1:11" s="8" customFormat="1" ht="15" customHeight="1">
      <c r="A218" s="103" t="s">
        <v>139</v>
      </c>
      <c r="B218" s="10" t="s">
        <v>502</v>
      </c>
      <c r="C218" s="211">
        <f t="shared" si="80"/>
        <v>650</v>
      </c>
      <c r="D218" s="121">
        <v>650</v>
      </c>
      <c r="E218" s="121"/>
      <c r="F218" s="213"/>
      <c r="G218" s="220"/>
      <c r="H218" s="220"/>
      <c r="I218" s="220"/>
      <c r="J218" s="19"/>
      <c r="K218" s="73"/>
    </row>
    <row r="219" spans="1:11" s="7" customFormat="1" ht="32.25" customHeight="1">
      <c r="A219" s="103"/>
      <c r="B219" s="93" t="s">
        <v>56</v>
      </c>
      <c r="C219" s="211">
        <f>SUM(D219:J219)</f>
        <v>3414.2</v>
      </c>
      <c r="D219" s="114">
        <f aca="true" t="shared" si="81" ref="D219:J219">SUM(D220:D228)</f>
        <v>0</v>
      </c>
      <c r="E219" s="114">
        <f>SUM(E220:E228)</f>
        <v>1055.2</v>
      </c>
      <c r="F219" s="182">
        <f>SUM(F220:F228)</f>
        <v>1959</v>
      </c>
      <c r="G219" s="210">
        <f t="shared" si="81"/>
        <v>400</v>
      </c>
      <c r="H219" s="210">
        <f t="shared" si="81"/>
        <v>0</v>
      </c>
      <c r="I219" s="210">
        <f t="shared" si="81"/>
        <v>0</v>
      </c>
      <c r="J219" s="16">
        <f t="shared" si="81"/>
        <v>0</v>
      </c>
      <c r="K219" s="80"/>
    </row>
    <row r="220" spans="1:11" s="8" customFormat="1" ht="15" customHeight="1">
      <c r="A220" s="99" t="s">
        <v>140</v>
      </c>
      <c r="B220" s="11" t="s">
        <v>49</v>
      </c>
      <c r="C220" s="211">
        <f>SUM(D220:J220)</f>
        <v>800</v>
      </c>
      <c r="D220" s="121"/>
      <c r="E220" s="121">
        <f>1000-200</f>
        <v>800</v>
      </c>
      <c r="F220" s="213"/>
      <c r="G220" s="220"/>
      <c r="H220" s="220"/>
      <c r="I220" s="220"/>
      <c r="J220" s="19"/>
      <c r="K220" s="73"/>
    </row>
    <row r="221" spans="1:11" s="8" customFormat="1" ht="15" customHeight="1">
      <c r="A221" s="99" t="s">
        <v>141</v>
      </c>
      <c r="B221" s="11" t="s">
        <v>50</v>
      </c>
      <c r="C221" s="211">
        <f aca="true" t="shared" si="82" ref="C221:C229">SUM(D221:J221)</f>
        <v>374</v>
      </c>
      <c r="D221" s="121"/>
      <c r="E221" s="121"/>
      <c r="F221" s="213">
        <f>400-26</f>
        <v>374</v>
      </c>
      <c r="G221" s="220"/>
      <c r="H221" s="220"/>
      <c r="I221" s="220"/>
      <c r="J221" s="19"/>
      <c r="K221" s="73"/>
    </row>
    <row r="222" spans="1:11" s="8" customFormat="1" ht="15" customHeight="1">
      <c r="A222" s="99" t="s">
        <v>142</v>
      </c>
      <c r="B222" s="11" t="s">
        <v>513</v>
      </c>
      <c r="C222" s="211">
        <f t="shared" si="82"/>
        <v>785</v>
      </c>
      <c r="D222" s="121"/>
      <c r="E222" s="121"/>
      <c r="F222" s="213">
        <f>785</f>
        <v>785</v>
      </c>
      <c r="G222" s="220"/>
      <c r="H222" s="220"/>
      <c r="I222" s="220"/>
      <c r="J222" s="19"/>
      <c r="K222" s="73"/>
    </row>
    <row r="223" spans="1:11" s="8" customFormat="1" ht="15" customHeight="1">
      <c r="A223" s="99" t="s">
        <v>143</v>
      </c>
      <c r="B223" s="11" t="s">
        <v>51</v>
      </c>
      <c r="C223" s="211">
        <f t="shared" si="82"/>
        <v>400</v>
      </c>
      <c r="D223" s="121"/>
      <c r="E223" s="121"/>
      <c r="F223" s="213"/>
      <c r="G223" s="213">
        <v>400</v>
      </c>
      <c r="H223" s="213"/>
      <c r="I223" s="213"/>
      <c r="J223" s="19"/>
      <c r="K223" s="73"/>
    </row>
    <row r="224" spans="1:11" s="8" customFormat="1" ht="15" customHeight="1">
      <c r="A224" s="99" t="s">
        <v>144</v>
      </c>
      <c r="B224" s="90" t="s">
        <v>345</v>
      </c>
      <c r="C224" s="211">
        <f t="shared" si="82"/>
        <v>0</v>
      </c>
      <c r="D224" s="121"/>
      <c r="E224" s="121"/>
      <c r="F224" s="183"/>
      <c r="G224" s="213"/>
      <c r="H224" s="213"/>
      <c r="I224" s="213"/>
      <c r="J224" s="19"/>
      <c r="K224" s="73"/>
    </row>
    <row r="225" spans="1:11" s="8" customFormat="1" ht="15" customHeight="1">
      <c r="A225" s="99" t="s">
        <v>145</v>
      </c>
      <c r="B225" s="11" t="s">
        <v>518</v>
      </c>
      <c r="C225" s="211">
        <f t="shared" si="82"/>
        <v>800</v>
      </c>
      <c r="D225" s="121"/>
      <c r="E225" s="121"/>
      <c r="F225" s="213">
        <v>800</v>
      </c>
      <c r="G225" s="213"/>
      <c r="H225" s="213"/>
      <c r="I225" s="213"/>
      <c r="J225" s="19"/>
      <c r="K225" s="73"/>
    </row>
    <row r="226" spans="1:11" s="8" customFormat="1" ht="15" customHeight="1">
      <c r="A226" s="99" t="s">
        <v>146</v>
      </c>
      <c r="B226" s="11" t="s">
        <v>22</v>
      </c>
      <c r="C226" s="211">
        <f t="shared" si="82"/>
        <v>255.2</v>
      </c>
      <c r="D226" s="121"/>
      <c r="E226" s="121">
        <f>550-110-184.8</f>
        <v>255.2</v>
      </c>
      <c r="F226" s="213"/>
      <c r="G226" s="213"/>
      <c r="H226" s="213"/>
      <c r="I226" s="213"/>
      <c r="J226" s="19"/>
      <c r="K226" s="73"/>
    </row>
    <row r="227" spans="1:11" s="8" customFormat="1" ht="15" customHeight="1">
      <c r="A227" s="99" t="s">
        <v>147</v>
      </c>
      <c r="B227" s="11" t="s">
        <v>23</v>
      </c>
      <c r="C227" s="211">
        <f t="shared" si="82"/>
        <v>0</v>
      </c>
      <c r="D227" s="121"/>
      <c r="E227" s="121"/>
      <c r="F227" s="213"/>
      <c r="G227" s="213"/>
      <c r="H227" s="213"/>
      <c r="I227" s="213"/>
      <c r="J227" s="19"/>
      <c r="K227" s="73"/>
    </row>
    <row r="228" spans="1:11" s="8" customFormat="1" ht="15" customHeight="1">
      <c r="A228" s="99" t="s">
        <v>148</v>
      </c>
      <c r="B228" s="11" t="s">
        <v>52</v>
      </c>
      <c r="C228" s="211">
        <f t="shared" si="82"/>
        <v>0</v>
      </c>
      <c r="D228" s="121"/>
      <c r="E228" s="121"/>
      <c r="F228" s="213"/>
      <c r="G228" s="213"/>
      <c r="H228" s="213"/>
      <c r="I228" s="213"/>
      <c r="J228" s="19"/>
      <c r="K228" s="73"/>
    </row>
    <row r="229" spans="1:11" s="8" customFormat="1" ht="15" customHeight="1">
      <c r="A229" s="104"/>
      <c r="B229" s="5"/>
      <c r="C229" s="211">
        <f t="shared" si="82"/>
        <v>0</v>
      </c>
      <c r="D229" s="155"/>
      <c r="E229" s="121"/>
      <c r="F229" s="213"/>
      <c r="G229" s="220"/>
      <c r="H229" s="220"/>
      <c r="I229" s="220"/>
      <c r="J229" s="19"/>
      <c r="K229" s="73"/>
    </row>
    <row r="230" spans="1:11" s="7" customFormat="1" ht="63" customHeight="1">
      <c r="A230" s="104" t="s">
        <v>149</v>
      </c>
      <c r="B230" s="42" t="s">
        <v>298</v>
      </c>
      <c r="C230" s="210">
        <f>SUM(C231:C233)</f>
        <v>2694.4</v>
      </c>
      <c r="D230" s="115">
        <f>SUM(D231:D232)</f>
        <v>0</v>
      </c>
      <c r="E230" s="114">
        <f>SUM(E231:E233)</f>
        <v>2694.4</v>
      </c>
      <c r="F230" s="182">
        <f>SUM(F231:F232)</f>
        <v>0</v>
      </c>
      <c r="G230" s="182">
        <f>SUM(G231:G232)</f>
        <v>0</v>
      </c>
      <c r="H230" s="182">
        <f>SUM(H231:H232)</f>
        <v>0</v>
      </c>
      <c r="I230" s="182">
        <f>SUM(I231:I232)</f>
        <v>0</v>
      </c>
      <c r="J230" s="35">
        <f>SUM(J231:J232)</f>
        <v>0</v>
      </c>
      <c r="K230" s="77" t="s">
        <v>476</v>
      </c>
    </row>
    <row r="231" spans="1:11" s="8" customFormat="1" ht="15" customHeight="1">
      <c r="A231" s="104" t="s">
        <v>150</v>
      </c>
      <c r="B231" s="10" t="s">
        <v>492</v>
      </c>
      <c r="C231" s="211">
        <f>SUM(D231:J231)</f>
        <v>700</v>
      </c>
      <c r="D231" s="155"/>
      <c r="E231" s="121">
        <v>700</v>
      </c>
      <c r="F231" s="213"/>
      <c r="G231" s="213"/>
      <c r="H231" s="213"/>
      <c r="I231" s="213"/>
      <c r="J231" s="29"/>
      <c r="K231" s="77"/>
    </row>
    <row r="232" spans="1:11" s="8" customFormat="1" ht="15" customHeight="1">
      <c r="A232" s="104" t="s">
        <v>151</v>
      </c>
      <c r="B232" s="10" t="s">
        <v>493</v>
      </c>
      <c r="C232" s="211">
        <f>SUM(D232:J232)</f>
        <v>1396</v>
      </c>
      <c r="D232" s="155"/>
      <c r="E232" s="121">
        <v>1396</v>
      </c>
      <c r="F232" s="213"/>
      <c r="G232" s="213"/>
      <c r="H232" s="213"/>
      <c r="I232" s="213"/>
      <c r="J232" s="29"/>
      <c r="K232" s="77"/>
    </row>
    <row r="233" spans="1:11" s="8" customFormat="1" ht="15" customHeight="1">
      <c r="A233" s="104" t="s">
        <v>152</v>
      </c>
      <c r="B233" s="12" t="s">
        <v>494</v>
      </c>
      <c r="C233" s="211">
        <f>SUM(D233:J233)</f>
        <v>598.4</v>
      </c>
      <c r="D233" s="155"/>
      <c r="E233" s="121">
        <v>598.4</v>
      </c>
      <c r="F233" s="213"/>
      <c r="G233" s="213"/>
      <c r="H233" s="213"/>
      <c r="I233" s="213"/>
      <c r="J233" s="29"/>
      <c r="K233" s="77"/>
    </row>
    <row r="234" spans="1:11" s="13" customFormat="1" ht="15" customHeight="1">
      <c r="A234" s="100"/>
      <c r="B234" s="12" t="s">
        <v>504</v>
      </c>
      <c r="C234" s="231"/>
      <c r="D234" s="154"/>
      <c r="E234" s="153"/>
      <c r="F234" s="218"/>
      <c r="G234" s="218"/>
      <c r="H234" s="218"/>
      <c r="I234" s="218"/>
      <c r="J234" s="30"/>
      <c r="K234" s="78"/>
    </row>
    <row r="235" spans="1:11" s="8" customFormat="1" ht="15" customHeight="1">
      <c r="A235" s="103" t="s">
        <v>153</v>
      </c>
      <c r="B235" s="10" t="s">
        <v>518</v>
      </c>
      <c r="C235" s="211">
        <f>SUM(D235:J235)</f>
        <v>1347.2</v>
      </c>
      <c r="D235" s="155"/>
      <c r="E235" s="121">
        <f>350+997.2</f>
        <v>1347.2</v>
      </c>
      <c r="F235" s="213"/>
      <c r="G235" s="213"/>
      <c r="H235" s="213"/>
      <c r="I235" s="213"/>
      <c r="J235" s="29"/>
      <c r="K235" s="77"/>
    </row>
    <row r="236" spans="1:11" s="8" customFormat="1" ht="15" customHeight="1">
      <c r="A236" s="103" t="s">
        <v>154</v>
      </c>
      <c r="B236" s="10" t="s">
        <v>23</v>
      </c>
      <c r="C236" s="211">
        <f>SUM(D236:J236)</f>
        <v>1347.2</v>
      </c>
      <c r="D236" s="155"/>
      <c r="E236" s="121">
        <f>350+997.2</f>
        <v>1347.2</v>
      </c>
      <c r="F236" s="213"/>
      <c r="G236" s="213"/>
      <c r="H236" s="213"/>
      <c r="I236" s="213"/>
      <c r="J236" s="29"/>
      <c r="K236" s="77"/>
    </row>
    <row r="237" spans="1:11" s="8" customFormat="1" ht="15" customHeight="1">
      <c r="A237" s="103"/>
      <c r="B237" s="10"/>
      <c r="C237" s="211"/>
      <c r="D237" s="155"/>
      <c r="E237" s="121"/>
      <c r="F237" s="213"/>
      <c r="G237" s="213"/>
      <c r="H237" s="213"/>
      <c r="I237" s="213"/>
      <c r="J237" s="29"/>
      <c r="K237" s="77"/>
    </row>
    <row r="238" spans="1:11" s="7" customFormat="1" ht="66" customHeight="1">
      <c r="A238" s="104" t="s">
        <v>155</v>
      </c>
      <c r="B238" s="38" t="s">
        <v>299</v>
      </c>
      <c r="C238" s="210">
        <f>SUM(C239)</f>
        <v>1387062.2</v>
      </c>
      <c r="D238" s="115">
        <f>SUM(D239)</f>
        <v>166082</v>
      </c>
      <c r="E238" s="114">
        <f aca="true" t="shared" si="83" ref="E238:J238">SUM(E239)</f>
        <v>175796</v>
      </c>
      <c r="F238" s="182">
        <f t="shared" si="83"/>
        <v>210912.2</v>
      </c>
      <c r="G238" s="182">
        <f t="shared" si="83"/>
        <v>204173</v>
      </c>
      <c r="H238" s="182">
        <f t="shared" si="83"/>
        <v>204173</v>
      </c>
      <c r="I238" s="182">
        <f t="shared" si="83"/>
        <v>204173</v>
      </c>
      <c r="J238" s="35">
        <f t="shared" si="83"/>
        <v>221753</v>
      </c>
      <c r="K238" s="77" t="s">
        <v>477</v>
      </c>
    </row>
    <row r="239" spans="1:11" s="8" customFormat="1" ht="15" customHeight="1">
      <c r="A239" s="103" t="s">
        <v>156</v>
      </c>
      <c r="B239" s="10" t="s">
        <v>494</v>
      </c>
      <c r="C239" s="211">
        <f>SUM(D239:J239)</f>
        <v>1387062.2</v>
      </c>
      <c r="D239" s="95">
        <f>176507-9304-1121</f>
        <v>166082</v>
      </c>
      <c r="E239" s="95">
        <f>189957-14161</f>
        <v>175796</v>
      </c>
      <c r="F239" s="214">
        <f>209687+1225.2</f>
        <v>210912.2</v>
      </c>
      <c r="G239" s="214">
        <v>204173</v>
      </c>
      <c r="H239" s="214">
        <v>204173</v>
      </c>
      <c r="I239" s="214">
        <v>204173</v>
      </c>
      <c r="J239" s="34">
        <v>221753</v>
      </c>
      <c r="K239" s="77"/>
    </row>
    <row r="240" spans="1:11" s="8" customFormat="1" ht="15" customHeight="1">
      <c r="A240" s="103"/>
      <c r="B240" s="10"/>
      <c r="C240" s="211"/>
      <c r="D240" s="95"/>
      <c r="E240" s="95"/>
      <c r="F240" s="214"/>
      <c r="G240" s="214"/>
      <c r="H240" s="214"/>
      <c r="I240" s="214"/>
      <c r="J240" s="34"/>
      <c r="K240" s="73"/>
    </row>
    <row r="241" spans="1:11" s="7" customFormat="1" ht="84.75" customHeight="1">
      <c r="A241" s="103" t="s">
        <v>157</v>
      </c>
      <c r="B241" s="37" t="s">
        <v>304</v>
      </c>
      <c r="C241" s="210">
        <f>SUM(C242:C243)</f>
        <v>549041.3589999999</v>
      </c>
      <c r="D241" s="114">
        <f>SUM(D242:D243)</f>
        <v>94139.759</v>
      </c>
      <c r="E241" s="114">
        <f aca="true" t="shared" si="84" ref="E241:J241">SUM(E242:E243)</f>
        <v>92123.91500000001</v>
      </c>
      <c r="F241" s="182">
        <f t="shared" si="84"/>
        <v>57545.385</v>
      </c>
      <c r="G241" s="182">
        <f t="shared" si="84"/>
        <v>61100</v>
      </c>
      <c r="H241" s="182">
        <f t="shared" si="84"/>
        <v>64529.6</v>
      </c>
      <c r="I241" s="182">
        <f t="shared" si="84"/>
        <v>66077.7</v>
      </c>
      <c r="J241" s="35">
        <f t="shared" si="84"/>
        <v>113525</v>
      </c>
      <c r="K241" s="73" t="s">
        <v>478</v>
      </c>
    </row>
    <row r="242" spans="1:11" s="8" customFormat="1" ht="15" customHeight="1">
      <c r="A242" s="103" t="s">
        <v>158</v>
      </c>
      <c r="B242" s="12" t="s">
        <v>492</v>
      </c>
      <c r="C242" s="211">
        <f>SUM(D242:J242)</f>
        <v>539841.3589999999</v>
      </c>
      <c r="D242" s="95">
        <v>94139.759</v>
      </c>
      <c r="E242" s="95">
        <f>94122+200-996.9-482.3-0.1+0.012-718.798+0.001</f>
        <v>92123.91500000001</v>
      </c>
      <c r="F242" s="183">
        <f>48887+4500+5658.385-1600+100</f>
        <v>57545.385</v>
      </c>
      <c r="G242" s="183">
        <f>58800</f>
        <v>58800</v>
      </c>
      <c r="H242" s="214">
        <f>62229.6</f>
        <v>62229.6</v>
      </c>
      <c r="I242" s="214">
        <f>63777.7</f>
        <v>63777.7</v>
      </c>
      <c r="J242" s="34">
        <v>111225</v>
      </c>
      <c r="K242" s="77"/>
    </row>
    <row r="243" spans="1:11" s="8" customFormat="1" ht="15" customHeight="1">
      <c r="A243" s="99" t="s">
        <v>159</v>
      </c>
      <c r="B243" s="10" t="s">
        <v>495</v>
      </c>
      <c r="C243" s="211">
        <f>SUM(D243:J243)</f>
        <v>9200</v>
      </c>
      <c r="D243" s="96"/>
      <c r="E243" s="96"/>
      <c r="F243" s="240"/>
      <c r="G243" s="240">
        <v>2300</v>
      </c>
      <c r="H243" s="221">
        <v>2300</v>
      </c>
      <c r="I243" s="221">
        <v>2300</v>
      </c>
      <c r="J243" s="33">
        <v>2300</v>
      </c>
      <c r="K243" s="77"/>
    </row>
    <row r="244" spans="1:11" s="8" customFormat="1" ht="15" customHeight="1">
      <c r="A244" s="99"/>
      <c r="B244" s="12"/>
      <c r="C244" s="211"/>
      <c r="D244" s="96"/>
      <c r="E244" s="96"/>
      <c r="F244" s="221"/>
      <c r="G244" s="221"/>
      <c r="H244" s="221"/>
      <c r="I244" s="221"/>
      <c r="J244" s="33"/>
      <c r="K244" s="77"/>
    </row>
    <row r="245" spans="1:11" s="8" customFormat="1" ht="66.75" customHeight="1">
      <c r="A245" s="102" t="s">
        <v>160</v>
      </c>
      <c r="B245" s="43" t="s">
        <v>300</v>
      </c>
      <c r="C245" s="211">
        <f>SUM(C246+C250)</f>
        <v>263047.118</v>
      </c>
      <c r="D245" s="120">
        <f>SUM(D246+D250)</f>
        <v>66531.448</v>
      </c>
      <c r="E245" s="120">
        <f aca="true" t="shared" si="85" ref="E245:J245">SUM(E246+E250)</f>
        <v>30574.17</v>
      </c>
      <c r="F245" s="217">
        <f t="shared" si="85"/>
        <v>31280</v>
      </c>
      <c r="G245" s="217">
        <f t="shared" si="85"/>
        <v>32900</v>
      </c>
      <c r="H245" s="217">
        <f t="shared" si="85"/>
        <v>33979.8</v>
      </c>
      <c r="I245" s="217">
        <f t="shared" si="85"/>
        <v>34061.7</v>
      </c>
      <c r="J245" s="40">
        <f t="shared" si="85"/>
        <v>33720</v>
      </c>
      <c r="K245" s="77" t="s">
        <v>479</v>
      </c>
    </row>
    <row r="246" spans="1:11" s="8" customFormat="1" ht="15" customHeight="1">
      <c r="A246" s="103" t="s">
        <v>161</v>
      </c>
      <c r="B246" s="12" t="s">
        <v>492</v>
      </c>
      <c r="C246" s="211">
        <f>SUM(D246:J246)</f>
        <v>253549.718</v>
      </c>
      <c r="D246" s="95">
        <f>SUM(D248:D249)</f>
        <v>62334.048</v>
      </c>
      <c r="E246" s="95">
        <f aca="true" t="shared" si="86" ref="E246:J246">SUM(E248:E249)</f>
        <v>30574.17</v>
      </c>
      <c r="F246" s="214">
        <f>SUM(F248:F249)</f>
        <v>29580</v>
      </c>
      <c r="G246" s="214">
        <f>SUM(G248:G249)</f>
        <v>32000</v>
      </c>
      <c r="H246" s="214">
        <f t="shared" si="86"/>
        <v>33079.8</v>
      </c>
      <c r="I246" s="214">
        <f t="shared" si="86"/>
        <v>33161.7</v>
      </c>
      <c r="J246" s="34">
        <f t="shared" si="86"/>
        <v>32820</v>
      </c>
      <c r="K246" s="73"/>
    </row>
    <row r="247" spans="1:11" s="13" customFormat="1" ht="15" customHeight="1">
      <c r="A247" s="100"/>
      <c r="B247" s="12" t="s">
        <v>507</v>
      </c>
      <c r="C247" s="231"/>
      <c r="D247" s="153"/>
      <c r="E247" s="153"/>
      <c r="F247" s="218"/>
      <c r="G247" s="218"/>
      <c r="H247" s="218"/>
      <c r="I247" s="218"/>
      <c r="J247" s="30"/>
      <c r="K247" s="75"/>
    </row>
    <row r="248" spans="1:11" s="8" customFormat="1" ht="26.25" customHeight="1">
      <c r="A248" s="103" t="s">
        <v>162</v>
      </c>
      <c r="B248" s="44" t="s">
        <v>506</v>
      </c>
      <c r="C248" s="211">
        <f>SUM(D248:J248)</f>
        <v>220526.07</v>
      </c>
      <c r="D248" s="95">
        <v>29310.4</v>
      </c>
      <c r="E248" s="95">
        <f>29445-213-39.43+300+1081.6</f>
        <v>30574.17</v>
      </c>
      <c r="F248" s="214">
        <f>28404+800+376</f>
        <v>29580</v>
      </c>
      <c r="G248" s="214">
        <f>31200+800</f>
        <v>32000</v>
      </c>
      <c r="H248" s="214">
        <f>32279.8+800</f>
        <v>33079.8</v>
      </c>
      <c r="I248" s="214">
        <f>32361.7+800</f>
        <v>33161.7</v>
      </c>
      <c r="J248" s="34">
        <v>32820</v>
      </c>
      <c r="K248" s="73"/>
    </row>
    <row r="249" spans="1:11" s="8" customFormat="1" ht="48.75" customHeight="1">
      <c r="A249" s="103" t="s">
        <v>163</v>
      </c>
      <c r="B249" s="45" t="s">
        <v>503</v>
      </c>
      <c r="C249" s="211">
        <f>SUM(D249:J249)</f>
        <v>33023.648</v>
      </c>
      <c r="D249" s="117">
        <v>33023.648</v>
      </c>
      <c r="E249" s="95">
        <v>0</v>
      </c>
      <c r="F249" s="214">
        <v>0</v>
      </c>
      <c r="G249" s="214">
        <v>0</v>
      </c>
      <c r="H249" s="214">
        <v>0</v>
      </c>
      <c r="I249" s="214">
        <v>0</v>
      </c>
      <c r="J249" s="34">
        <v>0</v>
      </c>
      <c r="K249" s="73"/>
    </row>
    <row r="250" spans="1:11" s="8" customFormat="1" ht="15" customHeight="1">
      <c r="A250" s="103" t="s">
        <v>164</v>
      </c>
      <c r="B250" s="10" t="s">
        <v>495</v>
      </c>
      <c r="C250" s="211">
        <f>SUM(D250:J250)</f>
        <v>9497.4</v>
      </c>
      <c r="D250" s="117">
        <v>4197.4</v>
      </c>
      <c r="E250" s="95">
        <v>0</v>
      </c>
      <c r="F250" s="214">
        <v>1700</v>
      </c>
      <c r="G250" s="214">
        <v>900</v>
      </c>
      <c r="H250" s="214">
        <v>900</v>
      </c>
      <c r="I250" s="214">
        <v>900</v>
      </c>
      <c r="J250" s="34">
        <v>900</v>
      </c>
      <c r="K250" s="73"/>
    </row>
    <row r="251" spans="1:11" s="8" customFormat="1" ht="15" customHeight="1">
      <c r="A251" s="103"/>
      <c r="B251" s="10"/>
      <c r="C251" s="211"/>
      <c r="D251" s="118"/>
      <c r="E251" s="96"/>
      <c r="F251" s="221"/>
      <c r="G251" s="221"/>
      <c r="H251" s="221"/>
      <c r="I251" s="221"/>
      <c r="J251" s="33"/>
      <c r="K251" s="73"/>
    </row>
    <row r="252" spans="1:11" s="14" customFormat="1" ht="81.75" customHeight="1">
      <c r="A252" s="102" t="s">
        <v>165</v>
      </c>
      <c r="B252" s="46" t="s">
        <v>301</v>
      </c>
      <c r="C252" s="217">
        <f>SUM(D252:J252)</f>
        <v>3124.8</v>
      </c>
      <c r="D252" s="120">
        <f>SUM(D253)</f>
        <v>3124.8</v>
      </c>
      <c r="E252" s="120">
        <f aca="true" t="shared" si="87" ref="E252:J252">SUM(E253)</f>
        <v>0</v>
      </c>
      <c r="F252" s="217">
        <f t="shared" si="87"/>
        <v>0</v>
      </c>
      <c r="G252" s="217">
        <f t="shared" si="87"/>
        <v>0</v>
      </c>
      <c r="H252" s="217">
        <f t="shared" si="87"/>
        <v>0</v>
      </c>
      <c r="I252" s="217">
        <f t="shared" si="87"/>
        <v>0</v>
      </c>
      <c r="J252" s="40">
        <f t="shared" si="87"/>
        <v>0</v>
      </c>
      <c r="K252" s="77" t="s">
        <v>363</v>
      </c>
    </row>
    <row r="253" spans="1:11" s="14" customFormat="1" ht="15" customHeight="1">
      <c r="A253" s="99" t="s">
        <v>166</v>
      </c>
      <c r="B253" s="28" t="s">
        <v>494</v>
      </c>
      <c r="C253" s="217">
        <f>SUM(D253:J253)</f>
        <v>3124.8</v>
      </c>
      <c r="D253" s="95">
        <f>SUM(D255)</f>
        <v>3124.8</v>
      </c>
      <c r="E253" s="95">
        <f aca="true" t="shared" si="88" ref="E253:J253">SUM(E255)</f>
        <v>0</v>
      </c>
      <c r="F253" s="214">
        <f t="shared" si="88"/>
        <v>0</v>
      </c>
      <c r="G253" s="214">
        <f t="shared" si="88"/>
        <v>0</v>
      </c>
      <c r="H253" s="214">
        <f t="shared" si="88"/>
        <v>0</v>
      </c>
      <c r="I253" s="214">
        <f t="shared" si="88"/>
        <v>0</v>
      </c>
      <c r="J253" s="34">
        <f t="shared" si="88"/>
        <v>0</v>
      </c>
      <c r="K253" s="77"/>
    </row>
    <row r="254" spans="1:11" s="31" customFormat="1" ht="15" customHeight="1">
      <c r="A254" s="101"/>
      <c r="B254" s="28" t="s">
        <v>507</v>
      </c>
      <c r="C254" s="230"/>
      <c r="D254" s="153"/>
      <c r="E254" s="153"/>
      <c r="F254" s="218"/>
      <c r="G254" s="218"/>
      <c r="H254" s="218"/>
      <c r="I254" s="218"/>
      <c r="J254" s="30"/>
      <c r="K254" s="78"/>
    </row>
    <row r="255" spans="1:11" s="14" customFormat="1" ht="48" customHeight="1">
      <c r="A255" s="99" t="s">
        <v>167</v>
      </c>
      <c r="B255" s="67" t="s">
        <v>503</v>
      </c>
      <c r="C255" s="217">
        <f>SUM(D255:J255)</f>
        <v>3124.8</v>
      </c>
      <c r="D255" s="95">
        <v>3124.8</v>
      </c>
      <c r="E255" s="95"/>
      <c r="F255" s="214"/>
      <c r="G255" s="214"/>
      <c r="H255" s="214"/>
      <c r="I255" s="214"/>
      <c r="J255" s="34"/>
      <c r="K255" s="77"/>
    </row>
    <row r="256" spans="1:11" s="14" customFormat="1" ht="15.75">
      <c r="A256" s="99"/>
      <c r="B256" s="67"/>
      <c r="C256" s="217"/>
      <c r="D256" s="95"/>
      <c r="E256" s="95"/>
      <c r="F256" s="214"/>
      <c r="G256" s="214"/>
      <c r="H256" s="214"/>
      <c r="I256" s="214"/>
      <c r="J256" s="34"/>
      <c r="K256" s="77"/>
    </row>
    <row r="257" spans="1:11" s="14" customFormat="1" ht="63.75" customHeight="1">
      <c r="A257" s="103" t="s">
        <v>168</v>
      </c>
      <c r="B257" s="43" t="s">
        <v>302</v>
      </c>
      <c r="C257" s="210">
        <f aca="true" t="shared" si="89" ref="C257:J257">SUM(C258)</f>
        <v>25528</v>
      </c>
      <c r="D257" s="114">
        <f t="shared" si="89"/>
        <v>25528</v>
      </c>
      <c r="E257" s="114">
        <f t="shared" si="89"/>
        <v>0</v>
      </c>
      <c r="F257" s="182">
        <f t="shared" si="89"/>
        <v>0</v>
      </c>
      <c r="G257" s="182">
        <f t="shared" si="89"/>
        <v>0</v>
      </c>
      <c r="H257" s="182">
        <f t="shared" si="89"/>
        <v>0</v>
      </c>
      <c r="I257" s="182">
        <f t="shared" si="89"/>
        <v>0</v>
      </c>
      <c r="J257" s="35">
        <f t="shared" si="89"/>
        <v>0</v>
      </c>
      <c r="K257" s="77" t="s">
        <v>370</v>
      </c>
    </row>
    <row r="258" spans="1:11" s="14" customFormat="1" ht="16.5" customHeight="1">
      <c r="A258" s="103" t="s">
        <v>169</v>
      </c>
      <c r="B258" s="10" t="s">
        <v>494</v>
      </c>
      <c r="C258" s="211">
        <f>SUM(D258:J258)</f>
        <v>25528</v>
      </c>
      <c r="D258" s="95">
        <f>27460-1932</f>
        <v>25528</v>
      </c>
      <c r="E258" s="95">
        <v>0</v>
      </c>
      <c r="F258" s="214">
        <v>0</v>
      </c>
      <c r="G258" s="214">
        <v>0</v>
      </c>
      <c r="H258" s="214">
        <v>0</v>
      </c>
      <c r="I258" s="214">
        <v>0</v>
      </c>
      <c r="J258" s="34">
        <v>0</v>
      </c>
      <c r="K258" s="73"/>
    </row>
    <row r="259" spans="1:11" s="14" customFormat="1" ht="16.5" customHeight="1">
      <c r="A259" s="103"/>
      <c r="B259" s="10"/>
      <c r="C259" s="211"/>
      <c r="D259" s="95"/>
      <c r="E259" s="95"/>
      <c r="F259" s="214"/>
      <c r="G259" s="214"/>
      <c r="H259" s="214"/>
      <c r="I259" s="214"/>
      <c r="J259" s="34"/>
      <c r="K259" s="73"/>
    </row>
    <row r="260" spans="1:11" s="8" customFormat="1" ht="66.75" customHeight="1">
      <c r="A260" s="103" t="s">
        <v>170</v>
      </c>
      <c r="B260" s="46" t="s">
        <v>303</v>
      </c>
      <c r="C260" s="182">
        <f>SUM(D260:J260)</f>
        <v>2863.9260000000004</v>
      </c>
      <c r="D260" s="114">
        <f>SUM(D261:D263)</f>
        <v>1155.675</v>
      </c>
      <c r="E260" s="114">
        <f aca="true" t="shared" si="90" ref="E260:J260">SUM(E261:E263)</f>
        <v>1708.2510000000002</v>
      </c>
      <c r="F260" s="182">
        <f t="shared" si="90"/>
        <v>0</v>
      </c>
      <c r="G260" s="182">
        <f t="shared" si="90"/>
        <v>0</v>
      </c>
      <c r="H260" s="182">
        <f t="shared" si="90"/>
        <v>0</v>
      </c>
      <c r="I260" s="182">
        <f t="shared" si="90"/>
        <v>0</v>
      </c>
      <c r="J260" s="35">
        <f t="shared" si="90"/>
        <v>0</v>
      </c>
      <c r="K260" s="77" t="s">
        <v>364</v>
      </c>
    </row>
    <row r="261" spans="1:11" s="8" customFormat="1" ht="15" customHeight="1">
      <c r="A261" s="103" t="s">
        <v>171</v>
      </c>
      <c r="B261" s="32" t="s">
        <v>492</v>
      </c>
      <c r="C261" s="217">
        <f>SUM(D261:J261)</f>
        <v>150</v>
      </c>
      <c r="D261" s="114">
        <f>SUM(D265)</f>
        <v>0</v>
      </c>
      <c r="E261" s="114">
        <f aca="true" t="shared" si="91" ref="E261:J261">SUM(E265)</f>
        <v>150</v>
      </c>
      <c r="F261" s="182">
        <f t="shared" si="91"/>
        <v>0</v>
      </c>
      <c r="G261" s="182">
        <f t="shared" si="91"/>
        <v>0</v>
      </c>
      <c r="H261" s="182">
        <f t="shared" si="91"/>
        <v>0</v>
      </c>
      <c r="I261" s="182">
        <f t="shared" si="91"/>
        <v>0</v>
      </c>
      <c r="J261" s="35">
        <f t="shared" si="91"/>
        <v>0</v>
      </c>
      <c r="K261" s="77"/>
    </row>
    <row r="262" spans="1:11" s="8" customFormat="1" ht="15" customHeight="1">
      <c r="A262" s="103" t="s">
        <v>172</v>
      </c>
      <c r="B262" s="32" t="s">
        <v>494</v>
      </c>
      <c r="C262" s="217">
        <f aca="true" t="shared" si="92" ref="C262:C269">SUM(D262:J262)</f>
        <v>512.82</v>
      </c>
      <c r="D262" s="114">
        <f>SUM(D266)</f>
        <v>0</v>
      </c>
      <c r="E262" s="114">
        <f aca="true" t="shared" si="93" ref="E262:J262">SUM(E266)</f>
        <v>512.82</v>
      </c>
      <c r="F262" s="182">
        <f t="shared" si="93"/>
        <v>0</v>
      </c>
      <c r="G262" s="182">
        <f t="shared" si="93"/>
        <v>0</v>
      </c>
      <c r="H262" s="182">
        <f t="shared" si="93"/>
        <v>0</v>
      </c>
      <c r="I262" s="182">
        <f t="shared" si="93"/>
        <v>0</v>
      </c>
      <c r="J262" s="35">
        <f t="shared" si="93"/>
        <v>0</v>
      </c>
      <c r="K262" s="77"/>
    </row>
    <row r="263" spans="1:11" s="8" customFormat="1" ht="15" customHeight="1">
      <c r="A263" s="103" t="s">
        <v>173</v>
      </c>
      <c r="B263" s="32" t="s">
        <v>493</v>
      </c>
      <c r="C263" s="217">
        <f t="shared" si="92"/>
        <v>2201.1059999999998</v>
      </c>
      <c r="D263" s="114">
        <f aca="true" t="shared" si="94" ref="D263:J263">SUM(D267+D269)</f>
        <v>1155.675</v>
      </c>
      <c r="E263" s="114">
        <f t="shared" si="94"/>
        <v>1045.431</v>
      </c>
      <c r="F263" s="182">
        <f t="shared" si="94"/>
        <v>0</v>
      </c>
      <c r="G263" s="182">
        <f t="shared" si="94"/>
        <v>0</v>
      </c>
      <c r="H263" s="182">
        <f t="shared" si="94"/>
        <v>0</v>
      </c>
      <c r="I263" s="182">
        <f t="shared" si="94"/>
        <v>0</v>
      </c>
      <c r="J263" s="35">
        <f t="shared" si="94"/>
        <v>0</v>
      </c>
      <c r="K263" s="77"/>
    </row>
    <row r="264" spans="1:11" s="8" customFormat="1" ht="15" customHeight="1">
      <c r="A264" s="104"/>
      <c r="B264" s="93" t="s">
        <v>59</v>
      </c>
      <c r="C264" s="182"/>
      <c r="D264" s="95"/>
      <c r="E264" s="95"/>
      <c r="F264" s="214"/>
      <c r="G264" s="214"/>
      <c r="H264" s="214"/>
      <c r="I264" s="214"/>
      <c r="J264" s="34"/>
      <c r="K264" s="77"/>
    </row>
    <row r="265" spans="1:11" s="8" customFormat="1" ht="15" customHeight="1">
      <c r="A265" s="104" t="s">
        <v>174</v>
      </c>
      <c r="B265" s="32" t="s">
        <v>492</v>
      </c>
      <c r="C265" s="217">
        <f t="shared" si="92"/>
        <v>150</v>
      </c>
      <c r="D265" s="95"/>
      <c r="E265" s="95">
        <v>150</v>
      </c>
      <c r="F265" s="214"/>
      <c r="G265" s="214"/>
      <c r="H265" s="214"/>
      <c r="I265" s="214"/>
      <c r="J265" s="34"/>
      <c r="K265" s="77"/>
    </row>
    <row r="266" spans="1:12" s="8" customFormat="1" ht="15" customHeight="1">
      <c r="A266" s="104" t="s">
        <v>175</v>
      </c>
      <c r="B266" s="32" t="s">
        <v>494</v>
      </c>
      <c r="C266" s="217">
        <f t="shared" si="92"/>
        <v>512.82</v>
      </c>
      <c r="D266" s="95"/>
      <c r="E266" s="95">
        <v>512.82</v>
      </c>
      <c r="F266" s="214"/>
      <c r="G266" s="214"/>
      <c r="H266" s="214"/>
      <c r="I266" s="214"/>
      <c r="J266" s="34"/>
      <c r="K266" s="77"/>
      <c r="L266" s="110"/>
    </row>
    <row r="267" spans="1:12" s="8" customFormat="1" ht="15" customHeight="1">
      <c r="A267" s="104" t="s">
        <v>176</v>
      </c>
      <c r="B267" s="32" t="s">
        <v>493</v>
      </c>
      <c r="C267" s="217">
        <f t="shared" si="92"/>
        <v>1701.106</v>
      </c>
      <c r="D267" s="95">
        <v>1155.675</v>
      </c>
      <c r="E267" s="95">
        <v>545.431</v>
      </c>
      <c r="F267" s="214"/>
      <c r="G267" s="214"/>
      <c r="H267" s="214"/>
      <c r="I267" s="214"/>
      <c r="J267" s="34"/>
      <c r="K267" s="77"/>
      <c r="L267" s="110"/>
    </row>
    <row r="268" spans="1:11" s="8" customFormat="1" ht="15" customHeight="1">
      <c r="A268" s="104"/>
      <c r="B268" s="93" t="s">
        <v>60</v>
      </c>
      <c r="C268" s="182"/>
      <c r="D268" s="95"/>
      <c r="E268" s="95"/>
      <c r="F268" s="214"/>
      <c r="G268" s="214"/>
      <c r="H268" s="214"/>
      <c r="I268" s="214"/>
      <c r="J268" s="34"/>
      <c r="K268" s="77"/>
    </row>
    <row r="269" spans="1:11" s="8" customFormat="1" ht="15" customHeight="1">
      <c r="A269" s="104" t="s">
        <v>177</v>
      </c>
      <c r="B269" s="32" t="s">
        <v>493</v>
      </c>
      <c r="C269" s="217">
        <f t="shared" si="92"/>
        <v>500</v>
      </c>
      <c r="D269" s="95"/>
      <c r="E269" s="95">
        <v>500</v>
      </c>
      <c r="F269" s="214"/>
      <c r="G269" s="214"/>
      <c r="H269" s="214"/>
      <c r="I269" s="214"/>
      <c r="J269" s="34"/>
      <c r="K269" s="77"/>
    </row>
    <row r="270" spans="1:11" s="8" customFormat="1" ht="15" customHeight="1">
      <c r="A270" s="104"/>
      <c r="B270" s="32"/>
      <c r="C270" s="217"/>
      <c r="D270" s="95"/>
      <c r="E270" s="95"/>
      <c r="F270" s="214"/>
      <c r="G270" s="214"/>
      <c r="H270" s="214"/>
      <c r="I270" s="214"/>
      <c r="J270" s="34"/>
      <c r="K270" s="77"/>
    </row>
    <row r="271" spans="1:11" s="8" customFormat="1" ht="82.5" customHeight="1">
      <c r="A271" s="103" t="s">
        <v>178</v>
      </c>
      <c r="B271" s="46" t="s">
        <v>349</v>
      </c>
      <c r="C271" s="182">
        <f>SUM(D271:J271)</f>
        <v>686.98966</v>
      </c>
      <c r="D271" s="114">
        <f>SUM(D272:D273)</f>
        <v>0</v>
      </c>
      <c r="E271" s="114">
        <f aca="true" t="shared" si="95" ref="E271:J271">SUM(E272:E273)</f>
        <v>0</v>
      </c>
      <c r="F271" s="182">
        <f t="shared" si="95"/>
        <v>686.98966</v>
      </c>
      <c r="G271" s="182">
        <f t="shared" si="95"/>
        <v>0</v>
      </c>
      <c r="H271" s="182">
        <f t="shared" si="95"/>
        <v>0</v>
      </c>
      <c r="I271" s="182">
        <f t="shared" si="95"/>
        <v>0</v>
      </c>
      <c r="J271" s="35">
        <f t="shared" si="95"/>
        <v>0</v>
      </c>
      <c r="K271" s="77" t="s">
        <v>364</v>
      </c>
    </row>
    <row r="272" spans="1:11" s="8" customFormat="1" ht="15" customHeight="1">
      <c r="A272" s="103" t="s">
        <v>179</v>
      </c>
      <c r="B272" s="32" t="s">
        <v>492</v>
      </c>
      <c r="C272" s="217">
        <f>SUM(D272:J272)</f>
        <v>686.98966</v>
      </c>
      <c r="D272" s="124"/>
      <c r="E272" s="124"/>
      <c r="F272" s="183">
        <f>186.98966+500</f>
        <v>686.98966</v>
      </c>
      <c r="G272" s="183"/>
      <c r="H272" s="183"/>
      <c r="I272" s="183"/>
      <c r="J272" s="91"/>
      <c r="K272" s="77"/>
    </row>
    <row r="273" spans="1:11" s="8" customFormat="1" ht="15" customHeight="1">
      <c r="A273" s="103" t="s">
        <v>180</v>
      </c>
      <c r="B273" s="32" t="s">
        <v>494</v>
      </c>
      <c r="C273" s="217">
        <f>SUM(D273:J273)</f>
        <v>0</v>
      </c>
      <c r="D273" s="124"/>
      <c r="E273" s="124"/>
      <c r="F273" s="183"/>
      <c r="G273" s="183"/>
      <c r="H273" s="183"/>
      <c r="I273" s="183"/>
      <c r="J273" s="91"/>
      <c r="K273" s="77"/>
    </row>
    <row r="274" spans="1:11" s="8" customFormat="1" ht="15" customHeight="1">
      <c r="A274" s="103"/>
      <c r="B274" s="32"/>
      <c r="C274" s="217"/>
      <c r="D274" s="124"/>
      <c r="E274" s="124"/>
      <c r="F274" s="183"/>
      <c r="G274" s="183"/>
      <c r="H274" s="183"/>
      <c r="I274" s="183"/>
      <c r="J274" s="91"/>
      <c r="K274" s="77"/>
    </row>
    <row r="275" spans="1:11" s="8" customFormat="1" ht="53.25" customHeight="1">
      <c r="A275" s="103" t="s">
        <v>181</v>
      </c>
      <c r="B275" s="46" t="s">
        <v>350</v>
      </c>
      <c r="C275" s="182">
        <f>SUM(D275:J275)</f>
        <v>21791.553</v>
      </c>
      <c r="D275" s="114">
        <f>SUM(D276:D278)</f>
        <v>0</v>
      </c>
      <c r="E275" s="114">
        <f aca="true" t="shared" si="96" ref="E275:J275">SUM(E276:E278)</f>
        <v>0</v>
      </c>
      <c r="F275" s="182">
        <f>SUM(F276:F278)</f>
        <v>21791.553</v>
      </c>
      <c r="G275" s="182">
        <f t="shared" si="96"/>
        <v>0</v>
      </c>
      <c r="H275" s="182">
        <f t="shared" si="96"/>
        <v>0</v>
      </c>
      <c r="I275" s="182">
        <f t="shared" si="96"/>
        <v>0</v>
      </c>
      <c r="J275" s="114">
        <f t="shared" si="96"/>
        <v>0</v>
      </c>
      <c r="K275" s="77" t="s">
        <v>364</v>
      </c>
    </row>
    <row r="276" spans="1:11" s="8" customFormat="1" ht="31.5" customHeight="1">
      <c r="A276" s="103" t="s">
        <v>182</v>
      </c>
      <c r="B276" s="32" t="s">
        <v>447</v>
      </c>
      <c r="C276" s="217">
        <f>SUM(D276:J276)</f>
        <v>400</v>
      </c>
      <c r="D276" s="124"/>
      <c r="E276" s="124"/>
      <c r="F276" s="183">
        <f>400</f>
        <v>400</v>
      </c>
      <c r="G276" s="183"/>
      <c r="H276" s="183"/>
      <c r="I276" s="183"/>
      <c r="J276" s="91"/>
      <c r="K276" s="77"/>
    </row>
    <row r="277" spans="1:11" s="8" customFormat="1" ht="15" customHeight="1">
      <c r="A277" s="103" t="s">
        <v>183</v>
      </c>
      <c r="B277" s="32" t="s">
        <v>492</v>
      </c>
      <c r="C277" s="217">
        <f>SUM(D277:J277)</f>
        <v>7572.653</v>
      </c>
      <c r="D277" s="124"/>
      <c r="E277" s="124"/>
      <c r="F277" s="183">
        <f>7572.653</f>
        <v>7572.653</v>
      </c>
      <c r="G277" s="183"/>
      <c r="H277" s="183"/>
      <c r="I277" s="183"/>
      <c r="J277" s="91"/>
      <c r="K277" s="77"/>
    </row>
    <row r="278" spans="1:11" s="8" customFormat="1" ht="15" customHeight="1">
      <c r="A278" s="103" t="s">
        <v>184</v>
      </c>
      <c r="B278" s="32" t="s">
        <v>494</v>
      </c>
      <c r="C278" s="217">
        <f>SUM(D278:J278)</f>
        <v>13818.9</v>
      </c>
      <c r="D278" s="124"/>
      <c r="E278" s="124"/>
      <c r="F278" s="183">
        <f>13818.9</f>
        <v>13818.9</v>
      </c>
      <c r="G278" s="183"/>
      <c r="H278" s="183"/>
      <c r="I278" s="183"/>
      <c r="J278" s="91"/>
      <c r="K278" s="77"/>
    </row>
    <row r="279" spans="1:11" s="8" customFormat="1" ht="15" customHeight="1">
      <c r="A279" s="103"/>
      <c r="B279" s="32" t="s">
        <v>504</v>
      </c>
      <c r="C279" s="217"/>
      <c r="D279" s="124"/>
      <c r="E279" s="124"/>
      <c r="F279" s="183"/>
      <c r="G279" s="183"/>
      <c r="H279" s="183"/>
      <c r="I279" s="183"/>
      <c r="J279" s="91"/>
      <c r="K279" s="77"/>
    </row>
    <row r="280" spans="1:11" s="8" customFormat="1" ht="15" customHeight="1">
      <c r="A280" s="103" t="s">
        <v>185</v>
      </c>
      <c r="B280" s="32" t="s">
        <v>513</v>
      </c>
      <c r="C280" s="217">
        <f>SUM(D280:J280)</f>
        <v>21791.553</v>
      </c>
      <c r="D280" s="124"/>
      <c r="E280" s="124"/>
      <c r="F280" s="183">
        <f>SUM(F276:F278)</f>
        <v>21791.553</v>
      </c>
      <c r="G280" s="183"/>
      <c r="H280" s="183"/>
      <c r="I280" s="183"/>
      <c r="J280" s="91"/>
      <c r="K280" s="77"/>
    </row>
    <row r="281" spans="1:11" s="8" customFormat="1" ht="15" customHeight="1">
      <c r="A281" s="103"/>
      <c r="B281" s="32"/>
      <c r="C281" s="217"/>
      <c r="D281" s="124"/>
      <c r="E281" s="124"/>
      <c r="F281" s="183"/>
      <c r="G281" s="183"/>
      <c r="H281" s="183"/>
      <c r="I281" s="183"/>
      <c r="J281" s="91"/>
      <c r="K281" s="77"/>
    </row>
    <row r="282" spans="1:11" s="8" customFormat="1" ht="83.25" customHeight="1">
      <c r="A282" s="103" t="s">
        <v>186</v>
      </c>
      <c r="B282" s="46" t="s">
        <v>359</v>
      </c>
      <c r="C282" s="182">
        <f>SUM(D282:J282)</f>
        <v>4675</v>
      </c>
      <c r="D282" s="114">
        <f>SUM(D283:D284)</f>
        <v>0</v>
      </c>
      <c r="E282" s="114">
        <f aca="true" t="shared" si="97" ref="E282:J282">SUM(E283:E284)</f>
        <v>0</v>
      </c>
      <c r="F282" s="182">
        <f t="shared" si="97"/>
        <v>3300</v>
      </c>
      <c r="G282" s="182">
        <f t="shared" si="97"/>
        <v>1375</v>
      </c>
      <c r="H282" s="182">
        <f t="shared" si="97"/>
        <v>0</v>
      </c>
      <c r="I282" s="182">
        <f t="shared" si="97"/>
        <v>0</v>
      </c>
      <c r="J282" s="35">
        <f t="shared" si="97"/>
        <v>0</v>
      </c>
      <c r="K282" s="77" t="s">
        <v>365</v>
      </c>
    </row>
    <row r="283" spans="1:11" s="8" customFormat="1" ht="15" customHeight="1">
      <c r="A283" s="103" t="s">
        <v>187</v>
      </c>
      <c r="B283" s="32" t="s">
        <v>492</v>
      </c>
      <c r="C283" s="217">
        <f>SUM(D283:J283)</f>
        <v>3175</v>
      </c>
      <c r="D283" s="124"/>
      <c r="E283" s="124"/>
      <c r="F283" s="183">
        <f>1800</f>
        <v>1800</v>
      </c>
      <c r="G283" s="183">
        <f>1375</f>
        <v>1375</v>
      </c>
      <c r="H283" s="183"/>
      <c r="I283" s="183"/>
      <c r="J283" s="91"/>
      <c r="K283" s="77"/>
    </row>
    <row r="284" spans="1:11" s="8" customFormat="1" ht="15" customHeight="1">
      <c r="A284" s="103" t="s">
        <v>188</v>
      </c>
      <c r="B284" s="32" t="s">
        <v>494</v>
      </c>
      <c r="C284" s="217">
        <f>SUM(D284:J284)</f>
        <v>1500</v>
      </c>
      <c r="D284" s="124"/>
      <c r="E284" s="124"/>
      <c r="F284" s="183">
        <f>1500</f>
        <v>1500</v>
      </c>
      <c r="G284" s="183"/>
      <c r="H284" s="183"/>
      <c r="I284" s="183"/>
      <c r="J284" s="91"/>
      <c r="K284" s="77"/>
    </row>
    <row r="285" spans="1:11" s="8" customFormat="1" ht="15" customHeight="1">
      <c r="A285" s="103"/>
      <c r="B285" s="32" t="s">
        <v>504</v>
      </c>
      <c r="C285" s="217"/>
      <c r="D285" s="124"/>
      <c r="E285" s="124"/>
      <c r="F285" s="183"/>
      <c r="G285" s="183"/>
      <c r="H285" s="183"/>
      <c r="I285" s="183"/>
      <c r="J285" s="91"/>
      <c r="K285" s="77"/>
    </row>
    <row r="286" spans="1:11" s="8" customFormat="1" ht="15" customHeight="1">
      <c r="A286" s="103" t="s">
        <v>189</v>
      </c>
      <c r="B286" s="32" t="s">
        <v>23</v>
      </c>
      <c r="C286" s="217">
        <f>SUM(D286:J286)</f>
        <v>3300</v>
      </c>
      <c r="D286" s="124"/>
      <c r="E286" s="124"/>
      <c r="F286" s="183">
        <f>SUM(F283:F284)</f>
        <v>3300</v>
      </c>
      <c r="G286" s="183"/>
      <c r="H286" s="183"/>
      <c r="I286" s="183"/>
      <c r="J286" s="91"/>
      <c r="K286" s="77"/>
    </row>
    <row r="287" spans="1:11" s="8" customFormat="1" ht="15" customHeight="1">
      <c r="A287" s="103" t="s">
        <v>190</v>
      </c>
      <c r="B287" s="32" t="s">
        <v>22</v>
      </c>
      <c r="C287" s="217">
        <f>SUM(D287:J287)</f>
        <v>1375</v>
      </c>
      <c r="D287" s="124"/>
      <c r="E287" s="124"/>
      <c r="F287" s="183"/>
      <c r="G287" s="183">
        <f>SUM(G283:G284)</f>
        <v>1375</v>
      </c>
      <c r="H287" s="183"/>
      <c r="I287" s="183"/>
      <c r="J287" s="91"/>
      <c r="K287" s="77"/>
    </row>
    <row r="288" spans="1:11" s="8" customFormat="1" ht="15" customHeight="1">
      <c r="A288" s="103"/>
      <c r="B288" s="32"/>
      <c r="C288" s="217"/>
      <c r="D288" s="124"/>
      <c r="E288" s="124"/>
      <c r="F288" s="183"/>
      <c r="G288" s="183"/>
      <c r="H288" s="183"/>
      <c r="I288" s="183"/>
      <c r="J288" s="91"/>
      <c r="K288" s="77"/>
    </row>
    <row r="289" spans="1:11" s="8" customFormat="1" ht="115.5" customHeight="1">
      <c r="A289" s="103" t="s">
        <v>191</v>
      </c>
      <c r="B289" s="46" t="s">
        <v>366</v>
      </c>
      <c r="C289" s="182">
        <f>SUM(D289:J289)</f>
        <v>3996.2999999999997</v>
      </c>
      <c r="D289" s="114">
        <f>SUM(D290:D292)</f>
        <v>0</v>
      </c>
      <c r="E289" s="114">
        <f aca="true" t="shared" si="98" ref="E289:J289">SUM(E290:E292)</f>
        <v>0</v>
      </c>
      <c r="F289" s="182">
        <f>SUM(F290:F292)</f>
        <v>3996.2999999999997</v>
      </c>
      <c r="G289" s="182">
        <f t="shared" si="98"/>
        <v>0</v>
      </c>
      <c r="H289" s="182">
        <f t="shared" si="98"/>
        <v>0</v>
      </c>
      <c r="I289" s="182">
        <f t="shared" si="98"/>
        <v>0</v>
      </c>
      <c r="J289" s="35">
        <f t="shared" si="98"/>
        <v>0</v>
      </c>
      <c r="K289" s="77" t="s">
        <v>369</v>
      </c>
    </row>
    <row r="290" spans="1:11" s="8" customFormat="1" ht="15" customHeight="1">
      <c r="A290" s="103" t="s">
        <v>192</v>
      </c>
      <c r="B290" s="32" t="s">
        <v>492</v>
      </c>
      <c r="C290" s="217">
        <f>SUM(D290:J290)</f>
        <v>84.6</v>
      </c>
      <c r="D290" s="124"/>
      <c r="E290" s="124"/>
      <c r="F290" s="183">
        <f>84.6</f>
        <v>84.6</v>
      </c>
      <c r="G290" s="183"/>
      <c r="H290" s="183"/>
      <c r="I290" s="183"/>
      <c r="J290" s="91"/>
      <c r="K290" s="77"/>
    </row>
    <row r="291" spans="1:11" s="8" customFormat="1" ht="15" customHeight="1">
      <c r="A291" s="103" t="s">
        <v>193</v>
      </c>
      <c r="B291" s="32" t="s">
        <v>494</v>
      </c>
      <c r="C291" s="217">
        <f>SUM(D291:J291)</f>
        <v>0</v>
      </c>
      <c r="D291" s="124"/>
      <c r="E291" s="124"/>
      <c r="F291" s="183"/>
      <c r="G291" s="183"/>
      <c r="H291" s="183"/>
      <c r="I291" s="183"/>
      <c r="J291" s="91"/>
      <c r="K291" s="77"/>
    </row>
    <row r="292" spans="1:11" s="8" customFormat="1" ht="15" customHeight="1">
      <c r="A292" s="103" t="s">
        <v>194</v>
      </c>
      <c r="B292" s="32" t="s">
        <v>493</v>
      </c>
      <c r="C292" s="217">
        <f>SUM(D292:J292)</f>
        <v>3911.7</v>
      </c>
      <c r="D292" s="124"/>
      <c r="E292" s="124"/>
      <c r="F292" s="183">
        <v>3911.7</v>
      </c>
      <c r="G292" s="183"/>
      <c r="H292" s="183"/>
      <c r="I292" s="183"/>
      <c r="J292" s="91"/>
      <c r="K292" s="77"/>
    </row>
    <row r="293" spans="1:11" s="8" customFormat="1" ht="15" customHeight="1">
      <c r="A293" s="103"/>
      <c r="B293" s="32" t="s">
        <v>504</v>
      </c>
      <c r="C293" s="217"/>
      <c r="D293" s="124"/>
      <c r="E293" s="124"/>
      <c r="F293" s="183"/>
      <c r="G293" s="183"/>
      <c r="H293" s="183"/>
      <c r="I293" s="183"/>
      <c r="J293" s="91"/>
      <c r="K293" s="77"/>
    </row>
    <row r="294" spans="1:11" s="8" customFormat="1" ht="15" customHeight="1">
      <c r="A294" s="103" t="s">
        <v>195</v>
      </c>
      <c r="B294" s="32" t="s">
        <v>22</v>
      </c>
      <c r="C294" s="217">
        <f>SUM(D294:J294)</f>
        <v>3996.2999999999997</v>
      </c>
      <c r="D294" s="124"/>
      <c r="E294" s="124"/>
      <c r="F294" s="183">
        <f>SUM(F290:F292)</f>
        <v>3996.2999999999997</v>
      </c>
      <c r="G294" s="183"/>
      <c r="H294" s="183"/>
      <c r="I294" s="183"/>
      <c r="J294" s="91"/>
      <c r="K294" s="77"/>
    </row>
    <row r="295" spans="1:11" s="8" customFormat="1" ht="15" customHeight="1">
      <c r="A295" s="103"/>
      <c r="B295" s="175"/>
      <c r="C295" s="232"/>
      <c r="D295" s="176"/>
      <c r="E295" s="176"/>
      <c r="F295" s="233"/>
      <c r="G295" s="233"/>
      <c r="H295" s="233"/>
      <c r="I295" s="233"/>
      <c r="J295" s="177"/>
      <c r="K295" s="178"/>
    </row>
    <row r="296" spans="1:11" s="7" customFormat="1" ht="15" customHeight="1">
      <c r="A296" s="165"/>
      <c r="B296" s="247" t="s">
        <v>486</v>
      </c>
      <c r="C296" s="248"/>
      <c r="D296" s="248"/>
      <c r="E296" s="248"/>
      <c r="F296" s="248"/>
      <c r="G296" s="248"/>
      <c r="H296" s="248"/>
      <c r="I296" s="248"/>
      <c r="J296" s="248"/>
      <c r="K296" s="249"/>
    </row>
    <row r="297" spans="1:11" s="8" customFormat="1" ht="15.75">
      <c r="A297" s="103" t="s">
        <v>196</v>
      </c>
      <c r="B297" s="43" t="s">
        <v>523</v>
      </c>
      <c r="C297" s="211">
        <f>SUM(C298:C299)</f>
        <v>94369.284</v>
      </c>
      <c r="D297" s="115">
        <f>SUM(D298:D299)</f>
        <v>3619.284</v>
      </c>
      <c r="E297" s="114">
        <f aca="true" t="shared" si="99" ref="E297:J297">SUM(E298:E299)</f>
        <v>7500</v>
      </c>
      <c r="F297" s="182">
        <f t="shared" si="99"/>
        <v>10000</v>
      </c>
      <c r="G297" s="210">
        <f t="shared" si="99"/>
        <v>10050</v>
      </c>
      <c r="H297" s="182">
        <f t="shared" si="99"/>
        <v>15300</v>
      </c>
      <c r="I297" s="210">
        <f t="shared" si="99"/>
        <v>15200</v>
      </c>
      <c r="J297" s="16">
        <f t="shared" si="99"/>
        <v>32700</v>
      </c>
      <c r="K297" s="79"/>
    </row>
    <row r="298" spans="1:11" s="8" customFormat="1" ht="15" customHeight="1">
      <c r="A298" s="103" t="s">
        <v>197</v>
      </c>
      <c r="B298" s="10" t="s">
        <v>492</v>
      </c>
      <c r="C298" s="211">
        <f>SUM(D298:J298)</f>
        <v>94369.284</v>
      </c>
      <c r="D298" s="116">
        <f aca="true" t="shared" si="100" ref="D298:J298">SUM(D303+D317)</f>
        <v>3619.284</v>
      </c>
      <c r="E298" s="111">
        <f t="shared" si="100"/>
        <v>7500</v>
      </c>
      <c r="F298" s="205">
        <f t="shared" si="100"/>
        <v>10000</v>
      </c>
      <c r="G298" s="208">
        <f t="shared" si="100"/>
        <v>10050</v>
      </c>
      <c r="H298" s="208">
        <f t="shared" si="100"/>
        <v>15300</v>
      </c>
      <c r="I298" s="208">
        <f t="shared" si="100"/>
        <v>15200</v>
      </c>
      <c r="J298" s="15">
        <f t="shared" si="100"/>
        <v>32700</v>
      </c>
      <c r="K298" s="73"/>
    </row>
    <row r="299" spans="1:11" s="8" customFormat="1" ht="15" customHeight="1">
      <c r="A299" s="103" t="s">
        <v>198</v>
      </c>
      <c r="B299" s="10" t="s">
        <v>494</v>
      </c>
      <c r="C299" s="211">
        <f>SUM(D299:J299)</f>
        <v>0</v>
      </c>
      <c r="D299" s="116">
        <f>SUM(D304)</f>
        <v>0</v>
      </c>
      <c r="E299" s="111">
        <f aca="true" t="shared" si="101" ref="E299:J299">SUM(E304)</f>
        <v>0</v>
      </c>
      <c r="F299" s="205">
        <f t="shared" si="101"/>
        <v>0</v>
      </c>
      <c r="G299" s="208">
        <f t="shared" si="101"/>
        <v>0</v>
      </c>
      <c r="H299" s="208">
        <f t="shared" si="101"/>
        <v>0</v>
      </c>
      <c r="I299" s="208">
        <f t="shared" si="101"/>
        <v>0</v>
      </c>
      <c r="J299" s="15">
        <f t="shared" si="101"/>
        <v>0</v>
      </c>
      <c r="K299" s="73"/>
    </row>
    <row r="300" spans="1:11" s="8" customFormat="1" ht="15" customHeight="1">
      <c r="A300" s="104"/>
      <c r="B300" s="5"/>
      <c r="C300" s="234"/>
      <c r="D300" s="156"/>
      <c r="E300" s="156"/>
      <c r="F300" s="235"/>
      <c r="G300" s="222"/>
      <c r="H300" s="222"/>
      <c r="I300" s="222"/>
      <c r="J300" s="6"/>
      <c r="K300" s="73"/>
    </row>
    <row r="301" spans="1:11" s="8" customFormat="1" ht="15" customHeight="1">
      <c r="A301" s="166"/>
      <c r="B301" s="241" t="s">
        <v>496</v>
      </c>
      <c r="C301" s="242"/>
      <c r="D301" s="242"/>
      <c r="E301" s="242"/>
      <c r="F301" s="242"/>
      <c r="G301" s="242"/>
      <c r="H301" s="242"/>
      <c r="I301" s="242"/>
      <c r="J301" s="242"/>
      <c r="K301" s="243"/>
    </row>
    <row r="302" spans="1:11" s="8" customFormat="1" ht="34.5" customHeight="1">
      <c r="A302" s="103" t="s">
        <v>199</v>
      </c>
      <c r="B302" s="43" t="s">
        <v>519</v>
      </c>
      <c r="C302" s="211">
        <f aca="true" t="shared" si="102" ref="C302:J302">SUM(C303:C304)</f>
        <v>93606.732</v>
      </c>
      <c r="D302" s="114">
        <f t="shared" si="102"/>
        <v>3606.732</v>
      </c>
      <c r="E302" s="114">
        <f t="shared" si="102"/>
        <v>7500</v>
      </c>
      <c r="F302" s="182">
        <f t="shared" si="102"/>
        <v>10000</v>
      </c>
      <c r="G302" s="182">
        <f t="shared" si="102"/>
        <v>10000</v>
      </c>
      <c r="H302" s="182">
        <f t="shared" si="102"/>
        <v>15000</v>
      </c>
      <c r="I302" s="182">
        <f t="shared" si="102"/>
        <v>15000</v>
      </c>
      <c r="J302" s="35">
        <f t="shared" si="102"/>
        <v>32500</v>
      </c>
      <c r="K302" s="73"/>
    </row>
    <row r="303" spans="1:11" s="8" customFormat="1" ht="15" customHeight="1">
      <c r="A303" s="99" t="s">
        <v>200</v>
      </c>
      <c r="B303" s="10" t="s">
        <v>492</v>
      </c>
      <c r="C303" s="211">
        <f>SUM(D303:J303)</f>
        <v>93606.732</v>
      </c>
      <c r="D303" s="111">
        <f>SUM(D308)</f>
        <v>3606.732</v>
      </c>
      <c r="E303" s="111">
        <f aca="true" t="shared" si="103" ref="E303:J303">SUM(E308)</f>
        <v>7500</v>
      </c>
      <c r="F303" s="205">
        <f t="shared" si="103"/>
        <v>10000</v>
      </c>
      <c r="G303" s="205">
        <f t="shared" si="103"/>
        <v>10000</v>
      </c>
      <c r="H303" s="205">
        <f t="shared" si="103"/>
        <v>15000</v>
      </c>
      <c r="I303" s="205">
        <f t="shared" si="103"/>
        <v>15000</v>
      </c>
      <c r="J303" s="52">
        <f t="shared" si="103"/>
        <v>32500</v>
      </c>
      <c r="K303" s="73"/>
    </row>
    <row r="304" spans="1:11" s="8" customFormat="1" ht="15" customHeight="1">
      <c r="A304" s="99" t="s">
        <v>310</v>
      </c>
      <c r="B304" s="10" t="s">
        <v>494</v>
      </c>
      <c r="C304" s="211">
        <f>SUM(D304:J304)</f>
        <v>0</v>
      </c>
      <c r="D304" s="116">
        <f>SUM(D309)</f>
        <v>0</v>
      </c>
      <c r="E304" s="111">
        <f aca="true" t="shared" si="104" ref="E304:J304">SUM(E309)</f>
        <v>0</v>
      </c>
      <c r="F304" s="205">
        <f t="shared" si="104"/>
        <v>0</v>
      </c>
      <c r="G304" s="208">
        <f t="shared" si="104"/>
        <v>0</v>
      </c>
      <c r="H304" s="208">
        <f t="shared" si="104"/>
        <v>0</v>
      </c>
      <c r="I304" s="208">
        <f t="shared" si="104"/>
        <v>0</v>
      </c>
      <c r="J304" s="15">
        <f t="shared" si="104"/>
        <v>0</v>
      </c>
      <c r="K304" s="73"/>
    </row>
    <row r="305" spans="1:11" s="8" customFormat="1" ht="15" customHeight="1">
      <c r="A305" s="104"/>
      <c r="B305" s="9"/>
      <c r="C305" s="210"/>
      <c r="D305" s="116"/>
      <c r="E305" s="116"/>
      <c r="F305" s="205"/>
      <c r="G305" s="208"/>
      <c r="H305" s="208"/>
      <c r="I305" s="208"/>
      <c r="J305" s="15"/>
      <c r="K305" s="73"/>
    </row>
    <row r="306" spans="1:11" s="8" customFormat="1" ht="15" customHeight="1">
      <c r="A306" s="167"/>
      <c r="B306" s="250" t="s">
        <v>508</v>
      </c>
      <c r="C306" s="251"/>
      <c r="D306" s="251"/>
      <c r="E306" s="251"/>
      <c r="F306" s="251"/>
      <c r="G306" s="251"/>
      <c r="H306" s="251"/>
      <c r="I306" s="251"/>
      <c r="J306" s="251"/>
      <c r="K306" s="252"/>
    </row>
    <row r="307" spans="1:11" s="41" customFormat="1" ht="31.5">
      <c r="A307" s="99" t="s">
        <v>201</v>
      </c>
      <c r="B307" s="46" t="s">
        <v>255</v>
      </c>
      <c r="C307" s="217">
        <f>SUM(D307:J307)</f>
        <v>93606.732</v>
      </c>
      <c r="D307" s="114">
        <f>SUM(D308:D309)</f>
        <v>3606.732</v>
      </c>
      <c r="E307" s="114">
        <f aca="true" t="shared" si="105" ref="E307:J307">SUM(E308:E309)</f>
        <v>7500</v>
      </c>
      <c r="F307" s="182">
        <f t="shared" si="105"/>
        <v>10000</v>
      </c>
      <c r="G307" s="182">
        <f t="shared" si="105"/>
        <v>10000</v>
      </c>
      <c r="H307" s="182">
        <f t="shared" si="105"/>
        <v>15000</v>
      </c>
      <c r="I307" s="182">
        <f t="shared" si="105"/>
        <v>15000</v>
      </c>
      <c r="J307" s="35">
        <f t="shared" si="105"/>
        <v>32500</v>
      </c>
      <c r="K307" s="76"/>
    </row>
    <row r="308" spans="1:11" s="14" customFormat="1" ht="15" customHeight="1">
      <c r="A308" s="99" t="s">
        <v>202</v>
      </c>
      <c r="B308" s="10" t="s">
        <v>492</v>
      </c>
      <c r="C308" s="211">
        <f>SUM(D308:J308)</f>
        <v>93606.732</v>
      </c>
      <c r="D308" s="111">
        <f>D312</f>
        <v>3606.732</v>
      </c>
      <c r="E308" s="111">
        <f aca="true" t="shared" si="106" ref="E308:J308">E312</f>
        <v>7500</v>
      </c>
      <c r="F308" s="205">
        <f>F312</f>
        <v>10000</v>
      </c>
      <c r="G308" s="205">
        <f t="shared" si="106"/>
        <v>10000</v>
      </c>
      <c r="H308" s="205">
        <f t="shared" si="106"/>
        <v>15000</v>
      </c>
      <c r="I308" s="205">
        <f t="shared" si="106"/>
        <v>15000</v>
      </c>
      <c r="J308" s="52">
        <f t="shared" si="106"/>
        <v>32500</v>
      </c>
      <c r="K308" s="77"/>
    </row>
    <row r="309" spans="1:11" s="8" customFormat="1" ht="15" customHeight="1">
      <c r="A309" s="99" t="s">
        <v>203</v>
      </c>
      <c r="B309" s="10" t="s">
        <v>494</v>
      </c>
      <c r="C309" s="211">
        <f>SUM(D309:J309)</f>
        <v>0</v>
      </c>
      <c r="D309" s="116">
        <f>D313</f>
        <v>0</v>
      </c>
      <c r="E309" s="111">
        <f aca="true" t="shared" si="107" ref="E309:J309">E313</f>
        <v>0</v>
      </c>
      <c r="F309" s="205">
        <f t="shared" si="107"/>
        <v>0</v>
      </c>
      <c r="G309" s="208">
        <f t="shared" si="107"/>
        <v>0</v>
      </c>
      <c r="H309" s="208">
        <f t="shared" si="107"/>
        <v>0</v>
      </c>
      <c r="I309" s="208">
        <f t="shared" si="107"/>
        <v>0</v>
      </c>
      <c r="J309" s="15">
        <f t="shared" si="107"/>
        <v>0</v>
      </c>
      <c r="K309" s="73"/>
    </row>
    <row r="310" spans="1:11" s="8" customFormat="1" ht="15" customHeight="1">
      <c r="A310" s="99"/>
      <c r="B310" s="11"/>
      <c r="C310" s="211"/>
      <c r="D310" s="116"/>
      <c r="E310" s="111"/>
      <c r="F310" s="205"/>
      <c r="G310" s="208"/>
      <c r="H310" s="208"/>
      <c r="I310" s="208"/>
      <c r="J310" s="15"/>
      <c r="K310" s="73"/>
    </row>
    <row r="311" spans="1:11" s="8" customFormat="1" ht="63" customHeight="1">
      <c r="A311" s="99" t="s">
        <v>204</v>
      </c>
      <c r="B311" s="43" t="s">
        <v>254</v>
      </c>
      <c r="C311" s="217">
        <f>SUM(D311:J311)</f>
        <v>93606.732</v>
      </c>
      <c r="D311" s="114">
        <f>SUM(D312:D313)</f>
        <v>3606.732</v>
      </c>
      <c r="E311" s="114">
        <f aca="true" t="shared" si="108" ref="E311:J311">SUM(E312:E313)</f>
        <v>7500</v>
      </c>
      <c r="F311" s="182">
        <f t="shared" si="108"/>
        <v>10000</v>
      </c>
      <c r="G311" s="182">
        <f t="shared" si="108"/>
        <v>10000</v>
      </c>
      <c r="H311" s="182">
        <f t="shared" si="108"/>
        <v>15000</v>
      </c>
      <c r="I311" s="182">
        <f t="shared" si="108"/>
        <v>15000</v>
      </c>
      <c r="J311" s="35">
        <f t="shared" si="108"/>
        <v>32500</v>
      </c>
      <c r="K311" s="77" t="s">
        <v>372</v>
      </c>
    </row>
    <row r="312" spans="1:11" s="8" customFormat="1" ht="15" customHeight="1">
      <c r="A312" s="99" t="s">
        <v>205</v>
      </c>
      <c r="B312" s="10" t="s">
        <v>492</v>
      </c>
      <c r="C312" s="211">
        <f>SUM(D312:J312)</f>
        <v>93606.732</v>
      </c>
      <c r="D312" s="111">
        <v>3606.732</v>
      </c>
      <c r="E312" s="111">
        <f>15000-3000-5000+500</f>
        <v>7500</v>
      </c>
      <c r="F312" s="205">
        <f>15000-5000</f>
        <v>10000</v>
      </c>
      <c r="G312" s="205">
        <v>10000</v>
      </c>
      <c r="H312" s="205">
        <v>15000</v>
      </c>
      <c r="I312" s="205">
        <v>15000</v>
      </c>
      <c r="J312" s="52">
        <f>16250+5000+11250</f>
        <v>32500</v>
      </c>
      <c r="K312" s="73"/>
    </row>
    <row r="313" spans="1:11" s="8" customFormat="1" ht="15" customHeight="1">
      <c r="A313" s="99" t="s">
        <v>206</v>
      </c>
      <c r="B313" s="10" t="s">
        <v>494</v>
      </c>
      <c r="C313" s="211">
        <f>SUM(D313:J313)</f>
        <v>0</v>
      </c>
      <c r="D313" s="116"/>
      <c r="E313" s="111"/>
      <c r="F313" s="205"/>
      <c r="G313" s="208"/>
      <c r="H313" s="208"/>
      <c r="I313" s="208"/>
      <c r="J313" s="15"/>
      <c r="K313" s="73"/>
    </row>
    <row r="314" spans="1:11" s="8" customFormat="1" ht="15" customHeight="1">
      <c r="A314" s="104"/>
      <c r="B314" s="9"/>
      <c r="C314" s="210"/>
      <c r="D314" s="116"/>
      <c r="E314" s="111"/>
      <c r="F314" s="205"/>
      <c r="G314" s="208"/>
      <c r="H314" s="208"/>
      <c r="I314" s="208"/>
      <c r="J314" s="15"/>
      <c r="K314" s="73"/>
    </row>
    <row r="315" spans="1:11" s="8" customFormat="1" ht="15" customHeight="1">
      <c r="A315" s="166"/>
      <c r="B315" s="241" t="s">
        <v>500</v>
      </c>
      <c r="C315" s="242"/>
      <c r="D315" s="242"/>
      <c r="E315" s="242"/>
      <c r="F315" s="242"/>
      <c r="G315" s="242"/>
      <c r="H315" s="242"/>
      <c r="I315" s="242"/>
      <c r="J315" s="242"/>
      <c r="K315" s="243"/>
    </row>
    <row r="316" spans="1:11" s="8" customFormat="1" ht="31.5">
      <c r="A316" s="103" t="s">
        <v>207</v>
      </c>
      <c r="B316" s="43" t="s">
        <v>501</v>
      </c>
      <c r="C316" s="211">
        <f>SUM(C317)</f>
        <v>762.552</v>
      </c>
      <c r="D316" s="115">
        <f>SUM(D317:D317)</f>
        <v>12.552</v>
      </c>
      <c r="E316" s="114">
        <f aca="true" t="shared" si="109" ref="E316:J316">SUM(E317:E317)</f>
        <v>0</v>
      </c>
      <c r="F316" s="182">
        <f t="shared" si="109"/>
        <v>0</v>
      </c>
      <c r="G316" s="210">
        <f t="shared" si="109"/>
        <v>50</v>
      </c>
      <c r="H316" s="210">
        <f t="shared" si="109"/>
        <v>300</v>
      </c>
      <c r="I316" s="210">
        <f t="shared" si="109"/>
        <v>200</v>
      </c>
      <c r="J316" s="16">
        <f t="shared" si="109"/>
        <v>200</v>
      </c>
      <c r="K316" s="73"/>
    </row>
    <row r="317" spans="1:11" s="8" customFormat="1" ht="15" customHeight="1">
      <c r="A317" s="103" t="s">
        <v>208</v>
      </c>
      <c r="B317" s="10" t="s">
        <v>492</v>
      </c>
      <c r="C317" s="211">
        <f>SUM(D317:J317)</f>
        <v>762.552</v>
      </c>
      <c r="D317" s="117">
        <f>SUM(D320+D323)</f>
        <v>12.552</v>
      </c>
      <c r="E317" s="95">
        <f aca="true" t="shared" si="110" ref="E317:J317">SUM(E320+E323)</f>
        <v>0</v>
      </c>
      <c r="F317" s="214">
        <f t="shared" si="110"/>
        <v>0</v>
      </c>
      <c r="G317" s="215">
        <f t="shared" si="110"/>
        <v>50</v>
      </c>
      <c r="H317" s="215">
        <f t="shared" si="110"/>
        <v>300</v>
      </c>
      <c r="I317" s="215">
        <f t="shared" si="110"/>
        <v>200</v>
      </c>
      <c r="J317" s="22">
        <f t="shared" si="110"/>
        <v>200</v>
      </c>
      <c r="K317" s="73"/>
    </row>
    <row r="318" spans="1:11" s="8" customFormat="1" ht="15" customHeight="1">
      <c r="A318" s="103"/>
      <c r="B318" s="12"/>
      <c r="C318" s="236"/>
      <c r="D318" s="156"/>
      <c r="E318" s="157"/>
      <c r="F318" s="235"/>
      <c r="G318" s="222"/>
      <c r="H318" s="222"/>
      <c r="I318" s="222"/>
      <c r="J318" s="6"/>
      <c r="K318" s="73"/>
    </row>
    <row r="319" spans="1:11" s="8" customFormat="1" ht="52.5" customHeight="1">
      <c r="A319" s="103" t="s">
        <v>209</v>
      </c>
      <c r="B319" s="43" t="s">
        <v>256</v>
      </c>
      <c r="C319" s="211">
        <f>SUM(C320)</f>
        <v>401.552</v>
      </c>
      <c r="D319" s="115">
        <f>SUM(D320:D320)</f>
        <v>1.552</v>
      </c>
      <c r="E319" s="114">
        <f aca="true" t="shared" si="111" ref="E319:J319">SUM(E320:E320)</f>
        <v>0</v>
      </c>
      <c r="F319" s="182">
        <f t="shared" si="111"/>
        <v>0</v>
      </c>
      <c r="G319" s="210">
        <f t="shared" si="111"/>
        <v>50</v>
      </c>
      <c r="H319" s="210">
        <f t="shared" si="111"/>
        <v>150</v>
      </c>
      <c r="I319" s="210">
        <f t="shared" si="111"/>
        <v>100</v>
      </c>
      <c r="J319" s="16">
        <f t="shared" si="111"/>
        <v>100</v>
      </c>
      <c r="K319" s="77" t="s">
        <v>373</v>
      </c>
    </row>
    <row r="320" spans="1:11" s="8" customFormat="1" ht="15" customHeight="1">
      <c r="A320" s="103" t="s">
        <v>210</v>
      </c>
      <c r="B320" s="10" t="s">
        <v>492</v>
      </c>
      <c r="C320" s="211">
        <f>SUM(D320:J320)</f>
        <v>401.552</v>
      </c>
      <c r="D320" s="95">
        <v>1.552</v>
      </c>
      <c r="E320" s="95">
        <v>0</v>
      </c>
      <c r="F320" s="214">
        <v>0</v>
      </c>
      <c r="G320" s="215">
        <f>50</f>
        <v>50</v>
      </c>
      <c r="H320" s="215">
        <f>150</f>
        <v>150</v>
      </c>
      <c r="I320" s="215">
        <f>100</f>
        <v>100</v>
      </c>
      <c r="J320" s="22">
        <v>100</v>
      </c>
      <c r="K320" s="77"/>
    </row>
    <row r="321" spans="1:11" s="8" customFormat="1" ht="15" customHeight="1">
      <c r="A321" s="103"/>
      <c r="B321" s="10"/>
      <c r="C321" s="211"/>
      <c r="D321" s="95"/>
      <c r="E321" s="95"/>
      <c r="F321" s="214"/>
      <c r="G321" s="215"/>
      <c r="H321" s="215"/>
      <c r="I321" s="215"/>
      <c r="J321" s="22"/>
      <c r="K321" s="77"/>
    </row>
    <row r="322" spans="1:11" s="8" customFormat="1" ht="51" customHeight="1">
      <c r="A322" s="103" t="s">
        <v>211</v>
      </c>
      <c r="B322" s="43" t="s">
        <v>257</v>
      </c>
      <c r="C322" s="211">
        <f>SUM(C323)</f>
        <v>361</v>
      </c>
      <c r="D322" s="114">
        <f>SUM(D323:D323)</f>
        <v>11</v>
      </c>
      <c r="E322" s="114">
        <f aca="true" t="shared" si="112" ref="E322:J322">SUM(E323:E323)</f>
        <v>0</v>
      </c>
      <c r="F322" s="182">
        <f t="shared" si="112"/>
        <v>0</v>
      </c>
      <c r="G322" s="210">
        <f t="shared" si="112"/>
        <v>0</v>
      </c>
      <c r="H322" s="210">
        <f t="shared" si="112"/>
        <v>150</v>
      </c>
      <c r="I322" s="210">
        <f t="shared" si="112"/>
        <v>100</v>
      </c>
      <c r="J322" s="16">
        <f t="shared" si="112"/>
        <v>100</v>
      </c>
      <c r="K322" s="77" t="s">
        <v>374</v>
      </c>
    </row>
    <row r="323" spans="1:11" s="8" customFormat="1" ht="15" customHeight="1">
      <c r="A323" s="103" t="s">
        <v>212</v>
      </c>
      <c r="B323" s="10" t="s">
        <v>492</v>
      </c>
      <c r="C323" s="211">
        <f>SUM(D323:J323)</f>
        <v>361</v>
      </c>
      <c r="D323" s="95">
        <f>150-139</f>
        <v>11</v>
      </c>
      <c r="E323" s="95">
        <v>0</v>
      </c>
      <c r="F323" s="214">
        <v>0</v>
      </c>
      <c r="G323" s="215">
        <v>0</v>
      </c>
      <c r="H323" s="215">
        <f>150</f>
        <v>150</v>
      </c>
      <c r="I323" s="215">
        <f>100</f>
        <v>100</v>
      </c>
      <c r="J323" s="22">
        <v>100</v>
      </c>
      <c r="K323" s="73"/>
    </row>
    <row r="324" spans="1:11" s="8" customFormat="1" ht="15" customHeight="1">
      <c r="A324" s="104"/>
      <c r="B324" s="9"/>
      <c r="C324" s="210"/>
      <c r="D324" s="117"/>
      <c r="E324" s="95"/>
      <c r="F324" s="214"/>
      <c r="G324" s="215"/>
      <c r="H324" s="215"/>
      <c r="I324" s="215"/>
      <c r="J324" s="22"/>
      <c r="K324" s="73"/>
    </row>
    <row r="325" spans="1:11" s="7" customFormat="1" ht="15" customHeight="1">
      <c r="A325" s="165"/>
      <c r="B325" s="247" t="s">
        <v>487</v>
      </c>
      <c r="C325" s="248"/>
      <c r="D325" s="248"/>
      <c r="E325" s="248"/>
      <c r="F325" s="248"/>
      <c r="G325" s="248"/>
      <c r="H325" s="248"/>
      <c r="I325" s="248"/>
      <c r="J325" s="248"/>
      <c r="K325" s="249"/>
    </row>
    <row r="326" spans="1:11" s="8" customFormat="1" ht="15.75">
      <c r="A326" s="103" t="s">
        <v>213</v>
      </c>
      <c r="B326" s="43" t="s">
        <v>524</v>
      </c>
      <c r="C326" s="211">
        <f>SUM(C327:C330)</f>
        <v>161317.547</v>
      </c>
      <c r="D326" s="115">
        <f>SUM(D327:D330)</f>
        <v>21288.949999999997</v>
      </c>
      <c r="E326" s="114">
        <f aca="true" t="shared" si="113" ref="E326:J326">SUM(E327:E330)</f>
        <v>29337.197</v>
      </c>
      <c r="F326" s="182">
        <f t="shared" si="113"/>
        <v>23899.6</v>
      </c>
      <c r="G326" s="210">
        <f t="shared" si="113"/>
        <v>21873.4</v>
      </c>
      <c r="H326" s="210">
        <f t="shared" si="113"/>
        <v>22075.4</v>
      </c>
      <c r="I326" s="210">
        <f t="shared" si="113"/>
        <v>22122.7</v>
      </c>
      <c r="J326" s="16">
        <f t="shared" si="113"/>
        <v>20720.3</v>
      </c>
      <c r="K326" s="73"/>
    </row>
    <row r="327" spans="1:11" s="8" customFormat="1" ht="15" customHeight="1">
      <c r="A327" s="103" t="s">
        <v>214</v>
      </c>
      <c r="B327" s="10" t="s">
        <v>492</v>
      </c>
      <c r="C327" s="211">
        <f>SUM(D327:J327)</f>
        <v>78690.516</v>
      </c>
      <c r="D327" s="117">
        <f aca="true" t="shared" si="114" ref="D327:J327">SUM(D333+D339)</f>
        <v>9510.15</v>
      </c>
      <c r="E327" s="95">
        <f t="shared" si="114"/>
        <v>12406.866</v>
      </c>
      <c r="F327" s="214">
        <f t="shared" si="114"/>
        <v>11267.6</v>
      </c>
      <c r="G327" s="215">
        <f t="shared" si="114"/>
        <v>11708.2</v>
      </c>
      <c r="H327" s="215">
        <f t="shared" si="114"/>
        <v>11910.2</v>
      </c>
      <c r="I327" s="215">
        <f t="shared" si="114"/>
        <v>11957.5</v>
      </c>
      <c r="J327" s="22">
        <f t="shared" si="114"/>
        <v>9930</v>
      </c>
      <c r="K327" s="73"/>
    </row>
    <row r="328" spans="1:11" s="8" customFormat="1" ht="15" customHeight="1">
      <c r="A328" s="103" t="s">
        <v>215</v>
      </c>
      <c r="B328" s="10" t="s">
        <v>493</v>
      </c>
      <c r="C328" s="211">
        <f>SUM(D328:J328)</f>
        <v>0</v>
      </c>
      <c r="D328" s="117"/>
      <c r="E328" s="95"/>
      <c r="F328" s="214"/>
      <c r="G328" s="215"/>
      <c r="H328" s="215"/>
      <c r="I328" s="215"/>
      <c r="J328" s="22"/>
      <c r="K328" s="73"/>
    </row>
    <row r="329" spans="1:11" s="8" customFormat="1" ht="15" customHeight="1">
      <c r="A329" s="103" t="s">
        <v>268</v>
      </c>
      <c r="B329" s="10" t="s">
        <v>494</v>
      </c>
      <c r="C329" s="211">
        <f>SUM(D329:J329)</f>
        <v>82627.03099999999</v>
      </c>
      <c r="D329" s="117">
        <f>SUM(D341)</f>
        <v>11778.8</v>
      </c>
      <c r="E329" s="95">
        <f aca="true" t="shared" si="115" ref="E329:J329">SUM(E341)</f>
        <v>16930.331</v>
      </c>
      <c r="F329" s="214">
        <f t="shared" si="115"/>
        <v>12632</v>
      </c>
      <c r="G329" s="215">
        <f t="shared" si="115"/>
        <v>10165.2</v>
      </c>
      <c r="H329" s="215">
        <f t="shared" si="115"/>
        <v>10165.2</v>
      </c>
      <c r="I329" s="215">
        <f t="shared" si="115"/>
        <v>10165.2</v>
      </c>
      <c r="J329" s="22">
        <f t="shared" si="115"/>
        <v>10790.3</v>
      </c>
      <c r="K329" s="73"/>
    </row>
    <row r="330" spans="1:11" s="8" customFormat="1" ht="15" customHeight="1">
      <c r="A330" s="103" t="s">
        <v>269</v>
      </c>
      <c r="B330" s="10" t="s">
        <v>495</v>
      </c>
      <c r="C330" s="211">
        <f>SUM(D330:J330)</f>
        <v>0</v>
      </c>
      <c r="D330" s="117"/>
      <c r="E330" s="95"/>
      <c r="F330" s="214"/>
      <c r="G330" s="215"/>
      <c r="H330" s="215"/>
      <c r="I330" s="215"/>
      <c r="J330" s="22"/>
      <c r="K330" s="73"/>
    </row>
    <row r="331" spans="1:11" s="8" customFormat="1" ht="15" customHeight="1">
      <c r="A331" s="168"/>
      <c r="B331" s="253" t="s">
        <v>496</v>
      </c>
      <c r="C331" s="254"/>
      <c r="D331" s="254"/>
      <c r="E331" s="254"/>
      <c r="F331" s="254"/>
      <c r="G331" s="254"/>
      <c r="H331" s="254"/>
      <c r="I331" s="254"/>
      <c r="J331" s="254"/>
      <c r="K331" s="255"/>
    </row>
    <row r="332" spans="1:11" s="8" customFormat="1" ht="35.25" customHeight="1">
      <c r="A332" s="103" t="s">
        <v>258</v>
      </c>
      <c r="B332" s="43" t="s">
        <v>519</v>
      </c>
      <c r="C332" s="211">
        <v>0</v>
      </c>
      <c r="D332" s="115"/>
      <c r="E332" s="115"/>
      <c r="F332" s="114"/>
      <c r="G332" s="115"/>
      <c r="H332" s="115"/>
      <c r="I332" s="115"/>
      <c r="J332" s="16"/>
      <c r="K332" s="73"/>
    </row>
    <row r="333" spans="1:11" s="8" customFormat="1" ht="15" customHeight="1">
      <c r="A333" s="103" t="s">
        <v>259</v>
      </c>
      <c r="B333" s="10" t="s">
        <v>492</v>
      </c>
      <c r="C333" s="211">
        <f>SUM(D333:J333)</f>
        <v>0</v>
      </c>
      <c r="D333" s="117"/>
      <c r="E333" s="117"/>
      <c r="F333" s="95"/>
      <c r="G333" s="117"/>
      <c r="H333" s="117"/>
      <c r="I333" s="117"/>
      <c r="J333" s="22"/>
      <c r="K333" s="73"/>
    </row>
    <row r="334" spans="1:11" s="8" customFormat="1" ht="15" customHeight="1">
      <c r="A334" s="169"/>
      <c r="B334" s="244" t="s">
        <v>497</v>
      </c>
      <c r="C334" s="245"/>
      <c r="D334" s="245"/>
      <c r="E334" s="245"/>
      <c r="F334" s="245"/>
      <c r="G334" s="245"/>
      <c r="H334" s="245"/>
      <c r="I334" s="245"/>
      <c r="J334" s="245"/>
      <c r="K334" s="246"/>
    </row>
    <row r="335" spans="1:11" s="8" customFormat="1" ht="48.75" customHeight="1">
      <c r="A335" s="103" t="s">
        <v>260</v>
      </c>
      <c r="B335" s="43" t="s">
        <v>243</v>
      </c>
      <c r="C335" s="211">
        <v>0</v>
      </c>
      <c r="D335" s="115"/>
      <c r="E335" s="115"/>
      <c r="F335" s="182"/>
      <c r="G335" s="210"/>
      <c r="H335" s="210"/>
      <c r="I335" s="210"/>
      <c r="J335" s="16"/>
      <c r="K335" s="73"/>
    </row>
    <row r="336" spans="1:11" s="8" customFormat="1" ht="15" customHeight="1">
      <c r="A336" s="103" t="s">
        <v>261</v>
      </c>
      <c r="B336" s="10" t="s">
        <v>492</v>
      </c>
      <c r="C336" s="211">
        <f>SUM(D336:J336)</f>
        <v>0</v>
      </c>
      <c r="D336" s="117"/>
      <c r="E336" s="117"/>
      <c r="F336" s="214"/>
      <c r="G336" s="215"/>
      <c r="H336" s="215"/>
      <c r="I336" s="215"/>
      <c r="J336" s="22"/>
      <c r="K336" s="73"/>
    </row>
    <row r="337" spans="1:11" s="8" customFormat="1" ht="15" customHeight="1">
      <c r="A337" s="166"/>
      <c r="B337" s="241" t="s">
        <v>500</v>
      </c>
      <c r="C337" s="242"/>
      <c r="D337" s="242"/>
      <c r="E337" s="242"/>
      <c r="F337" s="242"/>
      <c r="G337" s="242"/>
      <c r="H337" s="242"/>
      <c r="I337" s="242"/>
      <c r="J337" s="242"/>
      <c r="K337" s="243"/>
    </row>
    <row r="338" spans="1:11" s="8" customFormat="1" ht="31.5">
      <c r="A338" s="103" t="s">
        <v>216</v>
      </c>
      <c r="B338" s="43" t="s">
        <v>501</v>
      </c>
      <c r="C338" s="211">
        <f aca="true" t="shared" si="116" ref="C338:J338">SUM(C339:C341)</f>
        <v>161317.547</v>
      </c>
      <c r="D338" s="115">
        <f t="shared" si="116"/>
        <v>21288.949999999997</v>
      </c>
      <c r="E338" s="114">
        <f t="shared" si="116"/>
        <v>29337.197</v>
      </c>
      <c r="F338" s="182">
        <f t="shared" si="116"/>
        <v>23899.6</v>
      </c>
      <c r="G338" s="210">
        <f t="shared" si="116"/>
        <v>21873.4</v>
      </c>
      <c r="H338" s="210">
        <f t="shared" si="116"/>
        <v>22075.4</v>
      </c>
      <c r="I338" s="210">
        <f t="shared" si="116"/>
        <v>22122.7</v>
      </c>
      <c r="J338" s="16">
        <f t="shared" si="116"/>
        <v>20720.3</v>
      </c>
      <c r="K338" s="73"/>
    </row>
    <row r="339" spans="1:11" s="8" customFormat="1" ht="15" customHeight="1">
      <c r="A339" s="103" t="s">
        <v>217</v>
      </c>
      <c r="B339" s="10" t="s">
        <v>492</v>
      </c>
      <c r="C339" s="211">
        <f>SUM(D339:J339)</f>
        <v>78690.516</v>
      </c>
      <c r="D339" s="117">
        <f aca="true" t="shared" si="117" ref="D339:J339">SUM(D344+D348+D351+D355)</f>
        <v>9510.15</v>
      </c>
      <c r="E339" s="95">
        <f>SUM(E344+E348+E351+E355)</f>
        <v>12406.866</v>
      </c>
      <c r="F339" s="214">
        <f t="shared" si="117"/>
        <v>11267.6</v>
      </c>
      <c r="G339" s="215">
        <f t="shared" si="117"/>
        <v>11708.2</v>
      </c>
      <c r="H339" s="215">
        <f>SUM(H344+H348+H351+H355)</f>
        <v>11910.2</v>
      </c>
      <c r="I339" s="215">
        <f t="shared" si="117"/>
        <v>11957.5</v>
      </c>
      <c r="J339" s="22">
        <f t="shared" si="117"/>
        <v>9930</v>
      </c>
      <c r="K339" s="73"/>
    </row>
    <row r="340" spans="1:11" s="8" customFormat="1" ht="15" customHeight="1">
      <c r="A340" s="103" t="s">
        <v>218</v>
      </c>
      <c r="B340" s="10" t="s">
        <v>493</v>
      </c>
      <c r="C340" s="211">
        <f>SUM(D340:J340)</f>
        <v>0</v>
      </c>
      <c r="D340" s="117"/>
      <c r="E340" s="95"/>
      <c r="F340" s="214"/>
      <c r="G340" s="215"/>
      <c r="H340" s="215"/>
      <c r="I340" s="215"/>
      <c r="J340" s="22"/>
      <c r="K340" s="73"/>
    </row>
    <row r="341" spans="1:11" s="8" customFormat="1" ht="15" customHeight="1">
      <c r="A341" s="103" t="s">
        <v>219</v>
      </c>
      <c r="B341" s="10" t="s">
        <v>494</v>
      </c>
      <c r="C341" s="211">
        <f>SUM(D341:J341)</f>
        <v>82627.03099999999</v>
      </c>
      <c r="D341" s="95">
        <f aca="true" t="shared" si="118" ref="D341:J341">SUM(D352+D345+D356)</f>
        <v>11778.8</v>
      </c>
      <c r="E341" s="95">
        <f t="shared" si="118"/>
        <v>16930.331</v>
      </c>
      <c r="F341" s="214">
        <f t="shared" si="118"/>
        <v>12632</v>
      </c>
      <c r="G341" s="214">
        <f t="shared" si="118"/>
        <v>10165.2</v>
      </c>
      <c r="H341" s="214">
        <f t="shared" si="118"/>
        <v>10165.2</v>
      </c>
      <c r="I341" s="214">
        <f t="shared" si="118"/>
        <v>10165.2</v>
      </c>
      <c r="J341" s="95">
        <f t="shared" si="118"/>
        <v>10790.3</v>
      </c>
      <c r="K341" s="73"/>
    </row>
    <row r="342" spans="1:11" s="8" customFormat="1" ht="15" customHeight="1">
      <c r="A342" s="103"/>
      <c r="B342" s="10"/>
      <c r="C342" s="211"/>
      <c r="D342" s="117"/>
      <c r="E342" s="95"/>
      <c r="F342" s="214"/>
      <c r="G342" s="215"/>
      <c r="H342" s="215"/>
      <c r="I342" s="215"/>
      <c r="J342" s="22"/>
      <c r="K342" s="73"/>
    </row>
    <row r="343" spans="1:11" s="8" customFormat="1" ht="83.25" customHeight="1">
      <c r="A343" s="103" t="s">
        <v>220</v>
      </c>
      <c r="B343" s="43" t="s">
        <v>520</v>
      </c>
      <c r="C343" s="211">
        <f>SUM(C344)</f>
        <v>16443.4</v>
      </c>
      <c r="D343" s="115">
        <f aca="true" t="shared" si="119" ref="D343:J343">SUM(D344:D345)</f>
        <v>3671.3</v>
      </c>
      <c r="E343" s="114">
        <f t="shared" si="119"/>
        <v>9203.4</v>
      </c>
      <c r="F343" s="182">
        <f t="shared" si="119"/>
        <v>3683.4</v>
      </c>
      <c r="G343" s="210">
        <f t="shared" si="119"/>
        <v>2000</v>
      </c>
      <c r="H343" s="210">
        <f t="shared" si="119"/>
        <v>2000</v>
      </c>
      <c r="I343" s="210">
        <f t="shared" si="119"/>
        <v>2000</v>
      </c>
      <c r="J343" s="16">
        <f t="shared" si="119"/>
        <v>2000</v>
      </c>
      <c r="K343" s="77" t="s">
        <v>375</v>
      </c>
    </row>
    <row r="344" spans="1:11" s="8" customFormat="1" ht="15" customHeight="1">
      <c r="A344" s="103" t="s">
        <v>221</v>
      </c>
      <c r="B344" s="10" t="s">
        <v>492</v>
      </c>
      <c r="C344" s="211">
        <f>SUM(D344:J344)</f>
        <v>16443.4</v>
      </c>
      <c r="D344" s="117">
        <v>2000</v>
      </c>
      <c r="E344" s="95">
        <f>2000+1001.7+1600</f>
        <v>4601.7</v>
      </c>
      <c r="F344" s="214">
        <f>2000-158.3</f>
        <v>1841.7</v>
      </c>
      <c r="G344" s="215">
        <v>2000</v>
      </c>
      <c r="H344" s="215">
        <v>2000</v>
      </c>
      <c r="I344" s="215">
        <v>2000</v>
      </c>
      <c r="J344" s="22">
        <v>2000</v>
      </c>
      <c r="K344" s="77"/>
    </row>
    <row r="345" spans="1:11" s="8" customFormat="1" ht="15" customHeight="1">
      <c r="A345" s="104" t="s">
        <v>222</v>
      </c>
      <c r="B345" s="11" t="s">
        <v>494</v>
      </c>
      <c r="C345" s="211">
        <f>SUM(D345:J345)</f>
        <v>8114.7</v>
      </c>
      <c r="D345" s="117">
        <f>1671.4-0.1</f>
        <v>1671.3000000000002</v>
      </c>
      <c r="E345" s="95">
        <f>4601.7</f>
        <v>4601.7</v>
      </c>
      <c r="F345" s="214">
        <f>1841.7</f>
        <v>1841.7</v>
      </c>
      <c r="G345" s="215"/>
      <c r="H345" s="215"/>
      <c r="I345" s="215"/>
      <c r="J345" s="22"/>
      <c r="K345" s="77"/>
    </row>
    <row r="346" spans="1:11" s="8" customFormat="1" ht="15" customHeight="1">
      <c r="A346" s="103"/>
      <c r="B346" s="11"/>
      <c r="C346" s="211"/>
      <c r="D346" s="117"/>
      <c r="E346" s="95"/>
      <c r="F346" s="214"/>
      <c r="G346" s="215"/>
      <c r="H346" s="215"/>
      <c r="I346" s="215"/>
      <c r="J346" s="22"/>
      <c r="K346" s="77"/>
    </row>
    <row r="347" spans="1:11" s="8" customFormat="1" ht="50.25" customHeight="1">
      <c r="A347" s="103" t="s">
        <v>223</v>
      </c>
      <c r="B347" s="43" t="s">
        <v>525</v>
      </c>
      <c r="C347" s="211">
        <f>SUM(C348)</f>
        <v>13208.3</v>
      </c>
      <c r="D347" s="115">
        <f aca="true" t="shared" si="120" ref="D347:J347">SUM(D348:D348)</f>
        <v>1600</v>
      </c>
      <c r="E347" s="114">
        <f t="shared" si="120"/>
        <v>1450</v>
      </c>
      <c r="F347" s="182">
        <f t="shared" si="120"/>
        <v>2158.3</v>
      </c>
      <c r="G347" s="210">
        <f t="shared" si="120"/>
        <v>2000</v>
      </c>
      <c r="H347" s="210">
        <f t="shared" si="120"/>
        <v>2000</v>
      </c>
      <c r="I347" s="210">
        <f t="shared" si="120"/>
        <v>2000</v>
      </c>
      <c r="J347" s="16">
        <f t="shared" si="120"/>
        <v>2000</v>
      </c>
      <c r="K347" s="77" t="s">
        <v>480</v>
      </c>
    </row>
    <row r="348" spans="1:11" s="8" customFormat="1" ht="15" customHeight="1">
      <c r="A348" s="103" t="s">
        <v>224</v>
      </c>
      <c r="B348" s="10" t="s">
        <v>492</v>
      </c>
      <c r="C348" s="211">
        <f>SUM(D348:J348)</f>
        <v>13208.3</v>
      </c>
      <c r="D348" s="117">
        <f>2000-400</f>
        <v>1600</v>
      </c>
      <c r="E348" s="95">
        <v>1450</v>
      </c>
      <c r="F348" s="214">
        <f>2000+158.3</f>
        <v>2158.3</v>
      </c>
      <c r="G348" s="215">
        <v>2000</v>
      </c>
      <c r="H348" s="215">
        <v>2000</v>
      </c>
      <c r="I348" s="215">
        <v>2000</v>
      </c>
      <c r="J348" s="22">
        <v>2000</v>
      </c>
      <c r="K348" s="73"/>
    </row>
    <row r="349" spans="1:11" s="8" customFormat="1" ht="15" customHeight="1">
      <c r="A349" s="103"/>
      <c r="B349" s="10"/>
      <c r="C349" s="211"/>
      <c r="D349" s="117"/>
      <c r="E349" s="95"/>
      <c r="F349" s="214"/>
      <c r="G349" s="215"/>
      <c r="H349" s="215"/>
      <c r="I349" s="215"/>
      <c r="J349" s="22"/>
      <c r="K349" s="73"/>
    </row>
    <row r="350" spans="1:11" s="8" customFormat="1" ht="50.25" customHeight="1">
      <c r="A350" s="103" t="s">
        <v>225</v>
      </c>
      <c r="B350" s="43" t="s">
        <v>521</v>
      </c>
      <c r="C350" s="217">
        <f>SUM(C351:C352)</f>
        <v>107566.326</v>
      </c>
      <c r="D350" s="114">
        <f>SUM(D351:D352)</f>
        <v>14317.66</v>
      </c>
      <c r="E350" s="114">
        <f aca="true" t="shared" si="121" ref="E350:J350">SUM(E351:E352)</f>
        <v>15015.466</v>
      </c>
      <c r="F350" s="182">
        <f t="shared" si="121"/>
        <v>15947.3</v>
      </c>
      <c r="G350" s="182">
        <f t="shared" si="121"/>
        <v>15665.2</v>
      </c>
      <c r="H350" s="182">
        <f t="shared" si="121"/>
        <v>15665.2</v>
      </c>
      <c r="I350" s="182">
        <f t="shared" si="121"/>
        <v>15665.2</v>
      </c>
      <c r="J350" s="35">
        <f t="shared" si="121"/>
        <v>15290.3</v>
      </c>
      <c r="K350" s="77" t="s">
        <v>376</v>
      </c>
    </row>
    <row r="351" spans="1:11" s="8" customFormat="1" ht="15" customHeight="1">
      <c r="A351" s="103" t="s">
        <v>226</v>
      </c>
      <c r="B351" s="10" t="s">
        <v>492</v>
      </c>
      <c r="C351" s="217">
        <f>SUM(D351:J351)</f>
        <v>34592.326</v>
      </c>
      <c r="D351" s="111">
        <v>4210.16</v>
      </c>
      <c r="E351" s="111">
        <f>4000+225.166</f>
        <v>4225.166</v>
      </c>
      <c r="F351" s="205">
        <f>4500+657</f>
        <v>5157</v>
      </c>
      <c r="G351" s="205">
        <v>5500</v>
      </c>
      <c r="H351" s="205">
        <v>5500</v>
      </c>
      <c r="I351" s="205">
        <v>5500</v>
      </c>
      <c r="J351" s="52">
        <v>4500</v>
      </c>
      <c r="K351" s="77"/>
    </row>
    <row r="352" spans="1:11" s="8" customFormat="1" ht="15" customHeight="1">
      <c r="A352" s="103" t="s">
        <v>227</v>
      </c>
      <c r="B352" s="10" t="s">
        <v>494</v>
      </c>
      <c r="C352" s="217">
        <f>SUM(D352:J352)</f>
        <v>72974</v>
      </c>
      <c r="D352" s="111">
        <v>10107.5</v>
      </c>
      <c r="E352" s="111">
        <v>10790.3</v>
      </c>
      <c r="F352" s="205">
        <f>10790.3</f>
        <v>10790.3</v>
      </c>
      <c r="G352" s="205">
        <v>10165.2</v>
      </c>
      <c r="H352" s="205">
        <v>10165.2</v>
      </c>
      <c r="I352" s="205">
        <v>10165.2</v>
      </c>
      <c r="J352" s="52">
        <v>10790.3</v>
      </c>
      <c r="K352" s="77"/>
    </row>
    <row r="353" spans="1:11" s="8" customFormat="1" ht="15" customHeight="1">
      <c r="A353" s="103"/>
      <c r="B353" s="10"/>
      <c r="C353" s="217"/>
      <c r="D353" s="111"/>
      <c r="E353" s="111"/>
      <c r="F353" s="205"/>
      <c r="G353" s="205"/>
      <c r="H353" s="205"/>
      <c r="I353" s="205"/>
      <c r="J353" s="52"/>
      <c r="K353" s="77"/>
    </row>
    <row r="354" spans="1:11" s="8" customFormat="1" ht="65.25" customHeight="1">
      <c r="A354" s="103" t="s">
        <v>228</v>
      </c>
      <c r="B354" s="43" t="s">
        <v>526</v>
      </c>
      <c r="C354" s="217">
        <f>SUM(D354:J354)</f>
        <v>15984.821</v>
      </c>
      <c r="D354" s="114">
        <f>SUM(D355:D356)</f>
        <v>1699.99</v>
      </c>
      <c r="E354" s="114">
        <f aca="true" t="shared" si="122" ref="E354:J354">SUM(E355:E356)</f>
        <v>3668.331</v>
      </c>
      <c r="F354" s="182">
        <f t="shared" si="122"/>
        <v>2110.6</v>
      </c>
      <c r="G354" s="182">
        <f t="shared" si="122"/>
        <v>2208.2</v>
      </c>
      <c r="H354" s="182">
        <f t="shared" si="122"/>
        <v>2410.2</v>
      </c>
      <c r="I354" s="182">
        <f t="shared" si="122"/>
        <v>2457.5</v>
      </c>
      <c r="J354" s="35">
        <f t="shared" si="122"/>
        <v>1430</v>
      </c>
      <c r="K354" s="77" t="s">
        <v>375</v>
      </c>
    </row>
    <row r="355" spans="1:11" s="8" customFormat="1" ht="15" customHeight="1">
      <c r="A355" s="103" t="s">
        <v>229</v>
      </c>
      <c r="B355" s="10" t="s">
        <v>492</v>
      </c>
      <c r="C355" s="211">
        <f>SUM(D355:J355)</f>
        <v>14446.49</v>
      </c>
      <c r="D355" s="95">
        <v>1699.99</v>
      </c>
      <c r="E355" s="95">
        <f>1950+120+60</f>
        <v>2130</v>
      </c>
      <c r="F355" s="214">
        <v>2110.6</v>
      </c>
      <c r="G355" s="215">
        <f>2208.2</f>
        <v>2208.2</v>
      </c>
      <c r="H355" s="215">
        <f>2410.2</f>
        <v>2410.2</v>
      </c>
      <c r="I355" s="215">
        <f>2457.5</f>
        <v>2457.5</v>
      </c>
      <c r="J355" s="22">
        <v>1430</v>
      </c>
      <c r="K355" s="73"/>
    </row>
    <row r="356" spans="1:11" s="8" customFormat="1" ht="15" customHeight="1">
      <c r="A356" s="103" t="s">
        <v>230</v>
      </c>
      <c r="B356" s="10" t="s">
        <v>494</v>
      </c>
      <c r="C356" s="211">
        <f>SUM(D356:J356)</f>
        <v>1538.331</v>
      </c>
      <c r="D356" s="95"/>
      <c r="E356" s="95">
        <v>1538.331</v>
      </c>
      <c r="F356" s="214"/>
      <c r="G356" s="215"/>
      <c r="H356" s="215"/>
      <c r="I356" s="215"/>
      <c r="J356" s="22"/>
      <c r="K356" s="73"/>
    </row>
    <row r="357" spans="1:11" s="8" customFormat="1" ht="15" customHeight="1">
      <c r="A357" s="104"/>
      <c r="B357" s="10"/>
      <c r="C357" s="210"/>
      <c r="D357" s="95"/>
      <c r="E357" s="95"/>
      <c r="F357" s="214"/>
      <c r="G357" s="215"/>
      <c r="H357" s="215"/>
      <c r="I357" s="215"/>
      <c r="J357" s="22"/>
      <c r="K357" s="73"/>
    </row>
    <row r="358" spans="1:11" s="7" customFormat="1" ht="30.75" customHeight="1">
      <c r="A358" s="165"/>
      <c r="B358" s="247" t="s">
        <v>14</v>
      </c>
      <c r="C358" s="248"/>
      <c r="D358" s="248"/>
      <c r="E358" s="248"/>
      <c r="F358" s="248"/>
      <c r="G358" s="248"/>
      <c r="H358" s="248"/>
      <c r="I358" s="248"/>
      <c r="J358" s="248"/>
      <c r="K358" s="249"/>
    </row>
    <row r="359" spans="1:11" s="8" customFormat="1" ht="15.75">
      <c r="A359" s="103" t="s">
        <v>231</v>
      </c>
      <c r="B359" s="43" t="s">
        <v>527</v>
      </c>
      <c r="C359" s="210">
        <f aca="true" t="shared" si="123" ref="C359:J359">SUM(C360:C362)</f>
        <v>228649.93200000003</v>
      </c>
      <c r="D359" s="115">
        <f t="shared" si="123"/>
        <v>30652.593</v>
      </c>
      <c r="E359" s="114">
        <f t="shared" si="123"/>
        <v>28375.639000000003</v>
      </c>
      <c r="F359" s="182">
        <f t="shared" si="123"/>
        <v>34452.5</v>
      </c>
      <c r="G359" s="210">
        <f t="shared" si="123"/>
        <v>33225.3</v>
      </c>
      <c r="H359" s="210">
        <f t="shared" si="123"/>
        <v>33759.700000000004</v>
      </c>
      <c r="I359" s="210">
        <f t="shared" si="123"/>
        <v>34594.2</v>
      </c>
      <c r="J359" s="16">
        <f t="shared" si="123"/>
        <v>33590</v>
      </c>
      <c r="K359" s="73"/>
    </row>
    <row r="360" spans="1:11" s="8" customFormat="1" ht="15" customHeight="1">
      <c r="A360" s="103" t="s">
        <v>232</v>
      </c>
      <c r="B360" s="10" t="s">
        <v>492</v>
      </c>
      <c r="C360" s="211">
        <f>SUM(D360:J360)</f>
        <v>227899.93200000003</v>
      </c>
      <c r="D360" s="117">
        <f>SUM(D366+D384)</f>
        <v>29902.593</v>
      </c>
      <c r="E360" s="95">
        <f aca="true" t="shared" si="124" ref="E360:J360">SUM(E366+E384)</f>
        <v>28375.639000000003</v>
      </c>
      <c r="F360" s="214">
        <f t="shared" si="124"/>
        <v>34452.5</v>
      </c>
      <c r="G360" s="215">
        <f t="shared" si="124"/>
        <v>33225.3</v>
      </c>
      <c r="H360" s="215">
        <f t="shared" si="124"/>
        <v>33759.700000000004</v>
      </c>
      <c r="I360" s="215">
        <f t="shared" si="124"/>
        <v>34594.2</v>
      </c>
      <c r="J360" s="22">
        <f t="shared" si="124"/>
        <v>33590</v>
      </c>
      <c r="K360" s="73"/>
    </row>
    <row r="361" spans="1:11" s="8" customFormat="1" ht="15" customHeight="1">
      <c r="A361" s="103" t="s">
        <v>233</v>
      </c>
      <c r="B361" s="10" t="s">
        <v>493</v>
      </c>
      <c r="C361" s="211">
        <f>SUM(D361:J361)</f>
        <v>0</v>
      </c>
      <c r="D361" s="117"/>
      <c r="E361" s="95"/>
      <c r="F361" s="214"/>
      <c r="G361" s="215"/>
      <c r="H361" s="215"/>
      <c r="I361" s="215"/>
      <c r="J361" s="22"/>
      <c r="K361" s="73"/>
    </row>
    <row r="362" spans="1:11" s="8" customFormat="1" ht="15" customHeight="1">
      <c r="A362" s="103" t="s">
        <v>234</v>
      </c>
      <c r="B362" s="10" t="s">
        <v>494</v>
      </c>
      <c r="C362" s="211">
        <f>SUM(D362:J362)</f>
        <v>750</v>
      </c>
      <c r="D362" s="117">
        <f>SUM(D368)</f>
        <v>750</v>
      </c>
      <c r="E362" s="95">
        <f aca="true" t="shared" si="125" ref="E362:J362">SUM(E368)</f>
        <v>0</v>
      </c>
      <c r="F362" s="214">
        <f t="shared" si="125"/>
        <v>0</v>
      </c>
      <c r="G362" s="215">
        <f t="shared" si="125"/>
        <v>0</v>
      </c>
      <c r="H362" s="215">
        <f t="shared" si="125"/>
        <v>0</v>
      </c>
      <c r="I362" s="215">
        <f t="shared" si="125"/>
        <v>0</v>
      </c>
      <c r="J362" s="22">
        <f t="shared" si="125"/>
        <v>0</v>
      </c>
      <c r="K362" s="73"/>
    </row>
    <row r="363" spans="1:11" s="8" customFormat="1" ht="15" customHeight="1">
      <c r="A363" s="103"/>
      <c r="B363" s="10"/>
      <c r="C363" s="211"/>
      <c r="D363" s="117"/>
      <c r="E363" s="95"/>
      <c r="F363" s="214"/>
      <c r="G363" s="215"/>
      <c r="H363" s="215"/>
      <c r="I363" s="215"/>
      <c r="J363" s="22"/>
      <c r="K363" s="73"/>
    </row>
    <row r="364" spans="1:11" s="8" customFormat="1" ht="15" customHeight="1">
      <c r="A364" s="166"/>
      <c r="B364" s="241" t="s">
        <v>496</v>
      </c>
      <c r="C364" s="242"/>
      <c r="D364" s="242"/>
      <c r="E364" s="242"/>
      <c r="F364" s="242"/>
      <c r="G364" s="242"/>
      <c r="H364" s="242"/>
      <c r="I364" s="242"/>
      <c r="J364" s="242"/>
      <c r="K364" s="243"/>
    </row>
    <row r="365" spans="1:11" s="8" customFormat="1" ht="36" customHeight="1">
      <c r="A365" s="103" t="s">
        <v>235</v>
      </c>
      <c r="B365" s="43" t="s">
        <v>519</v>
      </c>
      <c r="C365" s="211">
        <f aca="true" t="shared" si="126" ref="C365:J365">SUM(C366:C368)</f>
        <v>5605</v>
      </c>
      <c r="D365" s="97">
        <f>SUM(D366:D368)</f>
        <v>1500</v>
      </c>
      <c r="E365" s="120">
        <f>SUM(E366:E368)</f>
        <v>0</v>
      </c>
      <c r="F365" s="217">
        <f t="shared" si="126"/>
        <v>0</v>
      </c>
      <c r="G365" s="211">
        <f t="shared" si="126"/>
        <v>1505</v>
      </c>
      <c r="H365" s="211">
        <f t="shared" si="126"/>
        <v>0</v>
      </c>
      <c r="I365" s="211">
        <f t="shared" si="126"/>
        <v>1100</v>
      </c>
      <c r="J365" s="18">
        <f t="shared" si="126"/>
        <v>1500</v>
      </c>
      <c r="K365" s="73"/>
    </row>
    <row r="366" spans="1:11" s="8" customFormat="1" ht="15" customHeight="1">
      <c r="A366" s="103" t="s">
        <v>226</v>
      </c>
      <c r="B366" s="10" t="s">
        <v>492</v>
      </c>
      <c r="C366" s="211">
        <f>SUM(D366:J366)</f>
        <v>4855</v>
      </c>
      <c r="D366" s="117">
        <f aca="true" t="shared" si="127" ref="D366:J366">SUM(D372+D376+D379)</f>
        <v>750</v>
      </c>
      <c r="E366" s="95">
        <f t="shared" si="127"/>
        <v>0</v>
      </c>
      <c r="F366" s="214">
        <f t="shared" si="127"/>
        <v>0</v>
      </c>
      <c r="G366" s="215">
        <f t="shared" si="127"/>
        <v>1505</v>
      </c>
      <c r="H366" s="215">
        <f t="shared" si="127"/>
        <v>0</v>
      </c>
      <c r="I366" s="215">
        <f t="shared" si="127"/>
        <v>1100</v>
      </c>
      <c r="J366" s="22">
        <f t="shared" si="127"/>
        <v>1500</v>
      </c>
      <c r="K366" s="73"/>
    </row>
    <row r="367" spans="1:11" s="8" customFormat="1" ht="15" customHeight="1">
      <c r="A367" s="103" t="s">
        <v>236</v>
      </c>
      <c r="B367" s="10" t="s">
        <v>493</v>
      </c>
      <c r="C367" s="211">
        <f>SUM(D367:J367)</f>
        <v>0</v>
      </c>
      <c r="D367" s="117"/>
      <c r="E367" s="95"/>
      <c r="F367" s="214"/>
      <c r="G367" s="215"/>
      <c r="H367" s="215"/>
      <c r="I367" s="215"/>
      <c r="J367" s="22"/>
      <c r="K367" s="73"/>
    </row>
    <row r="368" spans="1:11" s="8" customFormat="1" ht="15" customHeight="1">
      <c r="A368" s="103" t="s">
        <v>237</v>
      </c>
      <c r="B368" s="10" t="s">
        <v>494</v>
      </c>
      <c r="C368" s="211">
        <f>SUM(D368:J368)</f>
        <v>750</v>
      </c>
      <c r="D368" s="117">
        <f>SUM(D380)</f>
        <v>750</v>
      </c>
      <c r="E368" s="95">
        <f aca="true" t="shared" si="128" ref="E368:J368">SUM(E380)</f>
        <v>0</v>
      </c>
      <c r="F368" s="214">
        <f t="shared" si="128"/>
        <v>0</v>
      </c>
      <c r="G368" s="215">
        <f t="shared" si="128"/>
        <v>0</v>
      </c>
      <c r="H368" s="215">
        <f t="shared" si="128"/>
        <v>0</v>
      </c>
      <c r="I368" s="215">
        <f t="shared" si="128"/>
        <v>0</v>
      </c>
      <c r="J368" s="22">
        <f t="shared" si="128"/>
        <v>0</v>
      </c>
      <c r="K368" s="73"/>
    </row>
    <row r="369" spans="1:11" s="8" customFormat="1" ht="15" customHeight="1">
      <c r="A369" s="104"/>
      <c r="B369" s="5"/>
      <c r="C369" s="211"/>
      <c r="D369" s="117"/>
      <c r="E369" s="95"/>
      <c r="F369" s="214"/>
      <c r="G369" s="215"/>
      <c r="H369" s="215"/>
      <c r="I369" s="215"/>
      <c r="J369" s="22"/>
      <c r="K369" s="73"/>
    </row>
    <row r="370" spans="1:11" s="8" customFormat="1" ht="15" customHeight="1">
      <c r="A370" s="167"/>
      <c r="B370" s="250" t="s">
        <v>497</v>
      </c>
      <c r="C370" s="251"/>
      <c r="D370" s="251"/>
      <c r="E370" s="251"/>
      <c r="F370" s="251"/>
      <c r="G370" s="251"/>
      <c r="H370" s="251"/>
      <c r="I370" s="251"/>
      <c r="J370" s="251"/>
      <c r="K370" s="252"/>
    </row>
    <row r="371" spans="1:11" s="8" customFormat="1" ht="48.75" customHeight="1">
      <c r="A371" s="103" t="s">
        <v>238</v>
      </c>
      <c r="B371" s="43" t="s">
        <v>244</v>
      </c>
      <c r="C371" s="211">
        <v>0</v>
      </c>
      <c r="D371" s="115">
        <f>SUM(D372:D373)</f>
        <v>0</v>
      </c>
      <c r="E371" s="114">
        <f aca="true" t="shared" si="129" ref="E371:J371">SUM(E372:E373)</f>
        <v>0</v>
      </c>
      <c r="F371" s="182">
        <f t="shared" si="129"/>
        <v>0</v>
      </c>
      <c r="G371" s="210">
        <f t="shared" si="129"/>
        <v>0</v>
      </c>
      <c r="H371" s="210">
        <f t="shared" si="129"/>
        <v>0</v>
      </c>
      <c r="I371" s="210">
        <f t="shared" si="129"/>
        <v>0</v>
      </c>
      <c r="J371" s="16">
        <f t="shared" si="129"/>
        <v>0</v>
      </c>
      <c r="K371" s="73"/>
    </row>
    <row r="372" spans="1:11" s="8" customFormat="1" ht="15" customHeight="1">
      <c r="A372" s="103" t="s">
        <v>239</v>
      </c>
      <c r="B372" s="10" t="s">
        <v>492</v>
      </c>
      <c r="C372" s="211">
        <f>SUM(D372:J372)</f>
        <v>0</v>
      </c>
      <c r="D372" s="117"/>
      <c r="E372" s="95"/>
      <c r="F372" s="214"/>
      <c r="G372" s="215"/>
      <c r="H372" s="215"/>
      <c r="I372" s="215"/>
      <c r="J372" s="22"/>
      <c r="K372" s="73"/>
    </row>
    <row r="373" spans="1:11" s="8" customFormat="1" ht="15" customHeight="1">
      <c r="A373" s="103"/>
      <c r="B373" s="10"/>
      <c r="C373" s="97"/>
      <c r="D373" s="117"/>
      <c r="E373" s="95"/>
      <c r="F373" s="214"/>
      <c r="G373" s="215"/>
      <c r="H373" s="215"/>
      <c r="I373" s="215"/>
      <c r="J373" s="22"/>
      <c r="K373" s="73"/>
    </row>
    <row r="374" spans="1:11" s="8" customFormat="1" ht="15" customHeight="1">
      <c r="A374" s="167"/>
      <c r="B374" s="250" t="s">
        <v>508</v>
      </c>
      <c r="C374" s="251"/>
      <c r="D374" s="251"/>
      <c r="E374" s="251"/>
      <c r="F374" s="251"/>
      <c r="G374" s="251"/>
      <c r="H374" s="251"/>
      <c r="I374" s="251"/>
      <c r="J374" s="251"/>
      <c r="K374" s="252"/>
    </row>
    <row r="375" spans="1:11" s="8" customFormat="1" ht="51.75" customHeight="1">
      <c r="A375" s="103" t="s">
        <v>272</v>
      </c>
      <c r="B375" s="43" t="s">
        <v>530</v>
      </c>
      <c r="C375" s="211">
        <f>SUM(D375:J375)</f>
        <v>1100</v>
      </c>
      <c r="D375" s="115">
        <f>SUM(D376)</f>
        <v>0</v>
      </c>
      <c r="E375" s="115">
        <f aca="true" t="shared" si="130" ref="E375:J375">SUM(E376)</f>
        <v>0</v>
      </c>
      <c r="F375" s="182">
        <f t="shared" si="130"/>
        <v>0</v>
      </c>
      <c r="G375" s="210">
        <f t="shared" si="130"/>
        <v>0</v>
      </c>
      <c r="H375" s="210">
        <f t="shared" si="130"/>
        <v>0</v>
      </c>
      <c r="I375" s="210">
        <f t="shared" si="130"/>
        <v>1100</v>
      </c>
      <c r="J375" s="16">
        <f t="shared" si="130"/>
        <v>0</v>
      </c>
      <c r="K375" s="77" t="s">
        <v>481</v>
      </c>
    </row>
    <row r="376" spans="1:11" s="8" customFormat="1" ht="15" customHeight="1">
      <c r="A376" s="103" t="s">
        <v>273</v>
      </c>
      <c r="B376" s="10" t="s">
        <v>492</v>
      </c>
      <c r="C376" s="211">
        <f>SUM(D376:J376)</f>
        <v>1100</v>
      </c>
      <c r="D376" s="117"/>
      <c r="E376" s="117"/>
      <c r="F376" s="214"/>
      <c r="G376" s="215"/>
      <c r="H376" s="215"/>
      <c r="I376" s="215">
        <f>1100</f>
        <v>1100</v>
      </c>
      <c r="J376" s="22"/>
      <c r="K376" s="77"/>
    </row>
    <row r="377" spans="1:11" s="8" customFormat="1" ht="15" customHeight="1">
      <c r="A377" s="103"/>
      <c r="B377" s="10"/>
      <c r="C377" s="211"/>
      <c r="D377" s="117"/>
      <c r="E377" s="117"/>
      <c r="F377" s="214"/>
      <c r="G377" s="215"/>
      <c r="H377" s="215"/>
      <c r="I377" s="215"/>
      <c r="J377" s="22"/>
      <c r="K377" s="77"/>
    </row>
    <row r="378" spans="1:11" s="8" customFormat="1" ht="79.5" customHeight="1">
      <c r="A378" s="103" t="s">
        <v>274</v>
      </c>
      <c r="B378" s="46" t="s">
        <v>8</v>
      </c>
      <c r="C378" s="210">
        <f>SUM(C379:C380)</f>
        <v>4505</v>
      </c>
      <c r="D378" s="115">
        <f>SUM(D379:D380)</f>
        <v>1500</v>
      </c>
      <c r="E378" s="115">
        <f aca="true" t="shared" si="131" ref="E378:J378">SUM(E379:E380)</f>
        <v>0</v>
      </c>
      <c r="F378" s="182">
        <f t="shared" si="131"/>
        <v>0</v>
      </c>
      <c r="G378" s="210">
        <f t="shared" si="131"/>
        <v>1505</v>
      </c>
      <c r="H378" s="210">
        <f t="shared" si="131"/>
        <v>0</v>
      </c>
      <c r="I378" s="210">
        <f t="shared" si="131"/>
        <v>0</v>
      </c>
      <c r="J378" s="16">
        <f t="shared" si="131"/>
        <v>1500</v>
      </c>
      <c r="K378" s="77" t="s">
        <v>482</v>
      </c>
    </row>
    <row r="379" spans="1:11" s="8" customFormat="1" ht="15.75">
      <c r="A379" s="103" t="s">
        <v>275</v>
      </c>
      <c r="B379" s="10" t="s">
        <v>492</v>
      </c>
      <c r="C379" s="211">
        <f>SUM(D379:J379)</f>
        <v>3755</v>
      </c>
      <c r="D379" s="117">
        <f>700+50</f>
        <v>750</v>
      </c>
      <c r="E379" s="117"/>
      <c r="F379" s="214"/>
      <c r="G379" s="215">
        <f>1505</f>
        <v>1505</v>
      </c>
      <c r="H379" s="215"/>
      <c r="I379" s="215"/>
      <c r="J379" s="22">
        <v>1500</v>
      </c>
      <c r="K379" s="73"/>
    </row>
    <row r="380" spans="1:11" s="8" customFormat="1" ht="15" customHeight="1">
      <c r="A380" s="103" t="s">
        <v>276</v>
      </c>
      <c r="B380" s="10" t="s">
        <v>494</v>
      </c>
      <c r="C380" s="211">
        <f>SUM(D380:J380)</f>
        <v>750</v>
      </c>
      <c r="D380" s="117">
        <f>750</f>
        <v>750</v>
      </c>
      <c r="E380" s="117"/>
      <c r="F380" s="214"/>
      <c r="G380" s="215"/>
      <c r="H380" s="215"/>
      <c r="I380" s="215"/>
      <c r="J380" s="22"/>
      <c r="K380" s="73"/>
    </row>
    <row r="381" spans="1:11" s="8" customFormat="1" ht="15" customHeight="1">
      <c r="A381" s="103"/>
      <c r="B381" s="12"/>
      <c r="C381" s="211"/>
      <c r="D381" s="116"/>
      <c r="E381" s="116"/>
      <c r="F381" s="205"/>
      <c r="G381" s="208"/>
      <c r="H381" s="208"/>
      <c r="I381" s="208"/>
      <c r="J381" s="15"/>
      <c r="K381" s="73"/>
    </row>
    <row r="382" spans="1:11" s="8" customFormat="1" ht="15" customHeight="1">
      <c r="A382" s="166"/>
      <c r="B382" s="241" t="s">
        <v>500</v>
      </c>
      <c r="C382" s="242"/>
      <c r="D382" s="242"/>
      <c r="E382" s="242"/>
      <c r="F382" s="242"/>
      <c r="G382" s="242"/>
      <c r="H382" s="242"/>
      <c r="I382" s="242"/>
      <c r="J382" s="242"/>
      <c r="K382" s="243"/>
    </row>
    <row r="383" spans="1:11" s="8" customFormat="1" ht="31.5">
      <c r="A383" s="103" t="s">
        <v>277</v>
      </c>
      <c r="B383" s="43" t="s">
        <v>501</v>
      </c>
      <c r="C383" s="211">
        <f>SUM(C384)</f>
        <v>223044.93200000003</v>
      </c>
      <c r="D383" s="115">
        <f>SUM(D384:D384)</f>
        <v>29152.593</v>
      </c>
      <c r="E383" s="114">
        <f aca="true" t="shared" si="132" ref="E383:J383">SUM(E384:E384)</f>
        <v>28375.639000000003</v>
      </c>
      <c r="F383" s="182">
        <f t="shared" si="132"/>
        <v>34452.5</v>
      </c>
      <c r="G383" s="210">
        <f t="shared" si="132"/>
        <v>31720.3</v>
      </c>
      <c r="H383" s="210">
        <f t="shared" si="132"/>
        <v>33759.700000000004</v>
      </c>
      <c r="I383" s="210">
        <f t="shared" si="132"/>
        <v>33494.2</v>
      </c>
      <c r="J383" s="16">
        <f t="shared" si="132"/>
        <v>32090</v>
      </c>
      <c r="K383" s="73"/>
    </row>
    <row r="384" spans="1:11" s="8" customFormat="1" ht="15" customHeight="1">
      <c r="A384" s="103" t="s">
        <v>278</v>
      </c>
      <c r="B384" s="10" t="s">
        <v>492</v>
      </c>
      <c r="C384" s="210">
        <f>SUM(D384:J384)</f>
        <v>223044.93200000003</v>
      </c>
      <c r="D384" s="116">
        <f>SUM(D387+D390+D405+D408+D411)</f>
        <v>29152.593</v>
      </c>
      <c r="E384" s="111">
        <f aca="true" t="shared" si="133" ref="E384:J384">SUM(E387+E390+E405+E408+E411)</f>
        <v>28375.639000000003</v>
      </c>
      <c r="F384" s="205">
        <f t="shared" si="133"/>
        <v>34452.5</v>
      </c>
      <c r="G384" s="208">
        <f t="shared" si="133"/>
        <v>31720.3</v>
      </c>
      <c r="H384" s="208">
        <f t="shared" si="133"/>
        <v>33759.700000000004</v>
      </c>
      <c r="I384" s="208">
        <f t="shared" si="133"/>
        <v>33494.2</v>
      </c>
      <c r="J384" s="15">
        <f t="shared" si="133"/>
        <v>32090</v>
      </c>
      <c r="K384" s="73"/>
    </row>
    <row r="385" spans="1:11" s="8" customFormat="1" ht="15" customHeight="1">
      <c r="A385" s="103"/>
      <c r="B385" s="12"/>
      <c r="C385" s="211"/>
      <c r="D385" s="116"/>
      <c r="E385" s="111"/>
      <c r="F385" s="205"/>
      <c r="G385" s="208"/>
      <c r="H385" s="208"/>
      <c r="I385" s="208"/>
      <c r="J385" s="15"/>
      <c r="K385" s="73"/>
    </row>
    <row r="386" spans="1:11" s="8" customFormat="1" ht="47.25">
      <c r="A386" s="103" t="s">
        <v>279</v>
      </c>
      <c r="B386" s="43" t="s">
        <v>528</v>
      </c>
      <c r="C386" s="211">
        <f>SUM(C387)</f>
        <v>25124.6</v>
      </c>
      <c r="D386" s="115">
        <f>SUM(D387)</f>
        <v>3600</v>
      </c>
      <c r="E386" s="114">
        <f aca="true" t="shared" si="134" ref="E386:J386">SUM(E387)</f>
        <v>3613</v>
      </c>
      <c r="F386" s="182">
        <f t="shared" si="134"/>
        <v>3681</v>
      </c>
      <c r="G386" s="210">
        <f t="shared" si="134"/>
        <v>3390.3</v>
      </c>
      <c r="H386" s="210">
        <f t="shared" si="134"/>
        <v>3390.3</v>
      </c>
      <c r="I386" s="210">
        <f t="shared" si="134"/>
        <v>3450</v>
      </c>
      <c r="J386" s="16">
        <f t="shared" si="134"/>
        <v>4000</v>
      </c>
      <c r="K386" s="77" t="s">
        <v>377</v>
      </c>
    </row>
    <row r="387" spans="1:11" s="8" customFormat="1" ht="15" customHeight="1">
      <c r="A387" s="103" t="s">
        <v>280</v>
      </c>
      <c r="B387" s="10" t="s">
        <v>492</v>
      </c>
      <c r="C387" s="211">
        <f>SUM(D387:J387)</f>
        <v>25124.6</v>
      </c>
      <c r="D387" s="116">
        <v>3600</v>
      </c>
      <c r="E387" s="111">
        <v>3613</v>
      </c>
      <c r="F387" s="205">
        <v>3681</v>
      </c>
      <c r="G387" s="208">
        <v>3390.3</v>
      </c>
      <c r="H387" s="208">
        <v>3390.3</v>
      </c>
      <c r="I387" s="208">
        <f>3450</f>
        <v>3450</v>
      </c>
      <c r="J387" s="15">
        <v>4000</v>
      </c>
      <c r="K387" s="77"/>
    </row>
    <row r="388" spans="1:11" s="8" customFormat="1" ht="15" customHeight="1">
      <c r="A388" s="103"/>
      <c r="B388" s="10"/>
      <c r="C388" s="211"/>
      <c r="D388" s="116"/>
      <c r="E388" s="111"/>
      <c r="F388" s="205"/>
      <c r="G388" s="208"/>
      <c r="H388" s="208"/>
      <c r="I388" s="208"/>
      <c r="J388" s="15"/>
      <c r="K388" s="77"/>
    </row>
    <row r="389" spans="1:11" s="8" customFormat="1" ht="99" customHeight="1">
      <c r="A389" s="103" t="s">
        <v>281</v>
      </c>
      <c r="B389" s="43" t="s">
        <v>262</v>
      </c>
      <c r="C389" s="211">
        <f aca="true" t="shared" si="135" ref="C389:J389">SUM(C390)</f>
        <v>195066.469</v>
      </c>
      <c r="D389" s="115">
        <f>SUM(D390)</f>
        <v>25048.73</v>
      </c>
      <c r="E389" s="115">
        <f t="shared" si="135"/>
        <v>24392.639000000003</v>
      </c>
      <c r="F389" s="182">
        <f t="shared" si="135"/>
        <v>30441.5</v>
      </c>
      <c r="G389" s="210">
        <f t="shared" si="135"/>
        <v>28000</v>
      </c>
      <c r="H389" s="210">
        <f t="shared" si="135"/>
        <v>29929.4</v>
      </c>
      <c r="I389" s="210">
        <f t="shared" si="135"/>
        <v>29604.2</v>
      </c>
      <c r="J389" s="16">
        <f t="shared" si="135"/>
        <v>27650</v>
      </c>
      <c r="K389" s="77" t="s">
        <v>483</v>
      </c>
    </row>
    <row r="390" spans="1:11" s="8" customFormat="1" ht="15" customHeight="1">
      <c r="A390" s="103" t="s">
        <v>282</v>
      </c>
      <c r="B390" s="10" t="s">
        <v>492</v>
      </c>
      <c r="C390" s="211">
        <f>SUM(D390:J390)</f>
        <v>195066.469</v>
      </c>
      <c r="D390" s="115">
        <f>SUM(D393+D396+D399+D402)</f>
        <v>25048.73</v>
      </c>
      <c r="E390" s="115">
        <f aca="true" t="shared" si="136" ref="E390:J390">SUM(E393+E396+E399+E402)</f>
        <v>24392.639000000003</v>
      </c>
      <c r="F390" s="182">
        <f t="shared" si="136"/>
        <v>30441.5</v>
      </c>
      <c r="G390" s="210">
        <f t="shared" si="136"/>
        <v>28000</v>
      </c>
      <c r="H390" s="210">
        <f t="shared" si="136"/>
        <v>29929.4</v>
      </c>
      <c r="I390" s="210">
        <f t="shared" si="136"/>
        <v>29604.2</v>
      </c>
      <c r="J390" s="16">
        <f t="shared" si="136"/>
        <v>27650</v>
      </c>
      <c r="K390" s="73"/>
    </row>
    <row r="391" spans="1:11" s="8" customFormat="1" ht="15" customHeight="1">
      <c r="A391" s="103"/>
      <c r="B391" s="10"/>
      <c r="C391" s="211"/>
      <c r="D391" s="116"/>
      <c r="E391" s="116"/>
      <c r="F391" s="205"/>
      <c r="G391" s="208"/>
      <c r="H391" s="208"/>
      <c r="I391" s="208"/>
      <c r="J391" s="15"/>
      <c r="K391" s="73"/>
    </row>
    <row r="392" spans="1:11" s="8" customFormat="1" ht="51" customHeight="1">
      <c r="A392" s="103" t="s">
        <v>283</v>
      </c>
      <c r="B392" s="10" t="s">
        <v>263</v>
      </c>
      <c r="C392" s="237">
        <f aca="true" t="shared" si="137" ref="C392:J392">SUM(C393)</f>
        <v>17837.93</v>
      </c>
      <c r="D392" s="159">
        <f t="shared" si="137"/>
        <v>1933.73</v>
      </c>
      <c r="E392" s="124">
        <f t="shared" si="137"/>
        <v>2373</v>
      </c>
      <c r="F392" s="183">
        <f t="shared" si="137"/>
        <v>2605</v>
      </c>
      <c r="G392" s="223">
        <f t="shared" si="137"/>
        <v>2548.6</v>
      </c>
      <c r="H392" s="223">
        <f t="shared" si="137"/>
        <v>3016.1</v>
      </c>
      <c r="I392" s="223">
        <f t="shared" si="137"/>
        <v>3121.5</v>
      </c>
      <c r="J392" s="123">
        <f t="shared" si="137"/>
        <v>2240</v>
      </c>
      <c r="K392" s="73"/>
    </row>
    <row r="393" spans="1:11" s="8" customFormat="1" ht="15" customHeight="1">
      <c r="A393" s="103" t="s">
        <v>284</v>
      </c>
      <c r="B393" s="10" t="s">
        <v>492</v>
      </c>
      <c r="C393" s="237">
        <f>SUM(D393:J393)</f>
        <v>17837.93</v>
      </c>
      <c r="D393" s="159">
        <v>1933.73</v>
      </c>
      <c r="E393" s="124">
        <f>2043+250+80</f>
        <v>2373</v>
      </c>
      <c r="F393" s="183">
        <v>2605</v>
      </c>
      <c r="G393" s="223">
        <f>2548.6</f>
        <v>2548.6</v>
      </c>
      <c r="H393" s="223">
        <f>3016.1</f>
        <v>3016.1</v>
      </c>
      <c r="I393" s="223">
        <v>3121.5</v>
      </c>
      <c r="J393" s="123">
        <v>2240</v>
      </c>
      <c r="K393" s="73"/>
    </row>
    <row r="394" spans="1:11" s="8" customFormat="1" ht="15" customHeight="1">
      <c r="A394" s="103"/>
      <c r="B394" s="10"/>
      <c r="C394" s="237"/>
      <c r="D394" s="159"/>
      <c r="E394" s="124"/>
      <c r="F394" s="183"/>
      <c r="G394" s="223"/>
      <c r="H394" s="223"/>
      <c r="I394" s="223"/>
      <c r="J394" s="123"/>
      <c r="K394" s="73"/>
    </row>
    <row r="395" spans="1:11" s="8" customFormat="1" ht="50.25" customHeight="1">
      <c r="A395" s="103" t="s">
        <v>285</v>
      </c>
      <c r="B395" s="10" t="s">
        <v>264</v>
      </c>
      <c r="C395" s="237">
        <f aca="true" t="shared" si="138" ref="C395:J395">SUM(C396)</f>
        <v>220</v>
      </c>
      <c r="D395" s="124">
        <f t="shared" si="138"/>
        <v>0</v>
      </c>
      <c r="E395" s="124">
        <f t="shared" si="138"/>
        <v>220</v>
      </c>
      <c r="F395" s="183">
        <f t="shared" si="138"/>
        <v>0</v>
      </c>
      <c r="G395" s="223">
        <f t="shared" si="138"/>
        <v>0</v>
      </c>
      <c r="H395" s="223">
        <f t="shared" si="138"/>
        <v>0</v>
      </c>
      <c r="I395" s="223">
        <f t="shared" si="138"/>
        <v>0</v>
      </c>
      <c r="J395" s="123">
        <f t="shared" si="138"/>
        <v>0</v>
      </c>
      <c r="K395" s="73"/>
    </row>
    <row r="396" spans="1:11" s="8" customFormat="1" ht="15" customHeight="1">
      <c r="A396" s="103" t="s">
        <v>286</v>
      </c>
      <c r="B396" s="10" t="s">
        <v>492</v>
      </c>
      <c r="C396" s="237">
        <f>SUM(D396:J396)</f>
        <v>220</v>
      </c>
      <c r="D396" s="124">
        <f>140-140</f>
        <v>0</v>
      </c>
      <c r="E396" s="124">
        <f>279-59</f>
        <v>220</v>
      </c>
      <c r="F396" s="183">
        <v>0</v>
      </c>
      <c r="G396" s="223">
        <v>0</v>
      </c>
      <c r="H396" s="223">
        <v>0</v>
      </c>
      <c r="I396" s="223">
        <v>0</v>
      </c>
      <c r="J396" s="123">
        <v>0</v>
      </c>
      <c r="K396" s="73"/>
    </row>
    <row r="397" spans="1:11" s="8" customFormat="1" ht="15" customHeight="1">
      <c r="A397" s="103"/>
      <c r="B397" s="10"/>
      <c r="C397" s="237"/>
      <c r="D397" s="159"/>
      <c r="E397" s="124"/>
      <c r="F397" s="183"/>
      <c r="G397" s="223"/>
      <c r="H397" s="223"/>
      <c r="I397" s="223"/>
      <c r="J397" s="123"/>
      <c r="K397" s="73"/>
    </row>
    <row r="398" spans="1:11" s="8" customFormat="1" ht="53.25" customHeight="1">
      <c r="A398" s="103" t="s">
        <v>287</v>
      </c>
      <c r="B398" s="10" t="s">
        <v>265</v>
      </c>
      <c r="C398" s="237">
        <f aca="true" t="shared" si="139" ref="C398:J398">SUM(C399)</f>
        <v>95233.82599999999</v>
      </c>
      <c r="D398" s="159">
        <f t="shared" si="139"/>
        <v>12833</v>
      </c>
      <c r="E398" s="124">
        <f t="shared" si="139"/>
        <v>11918.626</v>
      </c>
      <c r="F398" s="183">
        <f t="shared" si="139"/>
        <v>13908.9</v>
      </c>
      <c r="G398" s="223">
        <f t="shared" si="139"/>
        <v>13431.2</v>
      </c>
      <c r="H398" s="223">
        <f t="shared" si="139"/>
        <v>13918.7</v>
      </c>
      <c r="I398" s="223">
        <f t="shared" si="139"/>
        <v>14313.4</v>
      </c>
      <c r="J398" s="123">
        <f t="shared" si="139"/>
        <v>14910</v>
      </c>
      <c r="K398" s="73"/>
    </row>
    <row r="399" spans="1:11" s="8" customFormat="1" ht="15" customHeight="1">
      <c r="A399" s="103" t="s">
        <v>288</v>
      </c>
      <c r="B399" s="10" t="s">
        <v>492</v>
      </c>
      <c r="C399" s="237">
        <f>SUM(D399:J399)</f>
        <v>95233.82599999999</v>
      </c>
      <c r="D399" s="124">
        <f>12743+90</f>
        <v>12833</v>
      </c>
      <c r="E399" s="124">
        <f>12201-277.9+245.5+0.026-250</f>
        <v>11918.626</v>
      </c>
      <c r="F399" s="183">
        <f>13569.4+169.5+170</f>
        <v>13908.9</v>
      </c>
      <c r="G399" s="183">
        <f>13431.2</f>
        <v>13431.2</v>
      </c>
      <c r="H399" s="183">
        <f>13918.7</f>
        <v>13918.7</v>
      </c>
      <c r="I399" s="183">
        <f>14313.4</f>
        <v>14313.4</v>
      </c>
      <c r="J399" s="91">
        <v>14910</v>
      </c>
      <c r="K399" s="77"/>
    </row>
    <row r="400" spans="1:11" s="8" customFormat="1" ht="15" customHeight="1">
      <c r="A400" s="103"/>
      <c r="B400" s="10"/>
      <c r="C400" s="237"/>
      <c r="D400" s="159"/>
      <c r="E400" s="124"/>
      <c r="F400" s="183"/>
      <c r="G400" s="183"/>
      <c r="H400" s="183"/>
      <c r="I400" s="183"/>
      <c r="J400" s="91"/>
      <c r="K400" s="77"/>
    </row>
    <row r="401" spans="1:11" s="8" customFormat="1" ht="48" customHeight="1">
      <c r="A401" s="103" t="s">
        <v>289</v>
      </c>
      <c r="B401" s="10" t="s">
        <v>266</v>
      </c>
      <c r="C401" s="237">
        <f aca="true" t="shared" si="140" ref="C401:J401">SUM(C402)</f>
        <v>81774.71299999999</v>
      </c>
      <c r="D401" s="159">
        <f t="shared" si="140"/>
        <v>10282</v>
      </c>
      <c r="E401" s="124">
        <f t="shared" si="140"/>
        <v>9881.013</v>
      </c>
      <c r="F401" s="183">
        <f t="shared" si="140"/>
        <v>13927.6</v>
      </c>
      <c r="G401" s="183">
        <f t="shared" si="140"/>
        <v>12020.2</v>
      </c>
      <c r="H401" s="183">
        <f t="shared" si="140"/>
        <v>12994.6</v>
      </c>
      <c r="I401" s="183">
        <f t="shared" si="140"/>
        <v>12169.3</v>
      </c>
      <c r="J401" s="91">
        <f t="shared" si="140"/>
        <v>10500</v>
      </c>
      <c r="K401" s="77"/>
    </row>
    <row r="402" spans="1:11" s="8" customFormat="1" ht="15" customHeight="1">
      <c r="A402" s="103" t="s">
        <v>290</v>
      </c>
      <c r="B402" s="10" t="s">
        <v>492</v>
      </c>
      <c r="C402" s="237">
        <f>SUM(D402:J402)</f>
        <v>81774.71299999999</v>
      </c>
      <c r="D402" s="159">
        <v>10282</v>
      </c>
      <c r="E402" s="124">
        <f>9977-15.987-80</f>
        <v>9881.013</v>
      </c>
      <c r="F402" s="183">
        <f>13927.6+1000-1000</f>
        <v>13927.6</v>
      </c>
      <c r="G402" s="183">
        <v>12020.2</v>
      </c>
      <c r="H402" s="183">
        <v>12994.6</v>
      </c>
      <c r="I402" s="183">
        <v>12169.3</v>
      </c>
      <c r="J402" s="91">
        <v>10500</v>
      </c>
      <c r="K402" s="77"/>
    </row>
    <row r="403" spans="1:11" s="8" customFormat="1" ht="15" customHeight="1">
      <c r="A403" s="103"/>
      <c r="B403" s="10"/>
      <c r="C403" s="211"/>
      <c r="D403" s="116"/>
      <c r="E403" s="111"/>
      <c r="F403" s="205"/>
      <c r="G403" s="205"/>
      <c r="H403" s="205"/>
      <c r="I403" s="205"/>
      <c r="J403" s="52"/>
      <c r="K403" s="77"/>
    </row>
    <row r="404" spans="1:11" s="8" customFormat="1" ht="36.75" customHeight="1">
      <c r="A404" s="103" t="s">
        <v>291</v>
      </c>
      <c r="B404" s="43" t="s">
        <v>267</v>
      </c>
      <c r="C404" s="211">
        <f aca="true" t="shared" si="141" ref="C404:J404">SUM(C405)</f>
        <v>2230</v>
      </c>
      <c r="D404" s="114">
        <f t="shared" si="141"/>
        <v>290</v>
      </c>
      <c r="E404" s="114">
        <f t="shared" si="141"/>
        <v>290</v>
      </c>
      <c r="F404" s="182">
        <f t="shared" si="141"/>
        <v>330</v>
      </c>
      <c r="G404" s="182">
        <f t="shared" si="141"/>
        <v>330</v>
      </c>
      <c r="H404" s="182">
        <f t="shared" si="141"/>
        <v>330</v>
      </c>
      <c r="I404" s="182">
        <f t="shared" si="141"/>
        <v>330</v>
      </c>
      <c r="J404" s="35">
        <f t="shared" si="141"/>
        <v>330</v>
      </c>
      <c r="K404" s="77" t="s">
        <v>373</v>
      </c>
    </row>
    <row r="405" spans="1:11" s="8" customFormat="1" ht="15" customHeight="1">
      <c r="A405" s="103" t="s">
        <v>292</v>
      </c>
      <c r="B405" s="10" t="s">
        <v>492</v>
      </c>
      <c r="C405" s="211">
        <f>SUM(D405:J405)</f>
        <v>2230</v>
      </c>
      <c r="D405" s="111">
        <f>120+200-30</f>
        <v>290</v>
      </c>
      <c r="E405" s="111">
        <f>230+60</f>
        <v>290</v>
      </c>
      <c r="F405" s="205">
        <f>30+300</f>
        <v>330</v>
      </c>
      <c r="G405" s="205">
        <f>30+300</f>
        <v>330</v>
      </c>
      <c r="H405" s="205">
        <f>30+300</f>
        <v>330</v>
      </c>
      <c r="I405" s="205">
        <f>30+300</f>
        <v>330</v>
      </c>
      <c r="J405" s="52">
        <f>130+200</f>
        <v>330</v>
      </c>
      <c r="K405" s="77"/>
    </row>
    <row r="406" spans="1:11" s="8" customFormat="1" ht="15" customHeight="1">
      <c r="A406" s="103"/>
      <c r="B406" s="10"/>
      <c r="C406" s="211"/>
      <c r="D406" s="111"/>
      <c r="E406" s="111"/>
      <c r="F406" s="205"/>
      <c r="G406" s="205"/>
      <c r="H406" s="205"/>
      <c r="I406" s="205"/>
      <c r="J406" s="52"/>
      <c r="K406" s="77"/>
    </row>
    <row r="407" spans="1:11" s="8" customFormat="1" ht="96.75" customHeight="1">
      <c r="A407" s="103" t="s">
        <v>293</v>
      </c>
      <c r="B407" s="43" t="s">
        <v>270</v>
      </c>
      <c r="C407" s="211">
        <f aca="true" t="shared" si="142" ref="C407:J407">SUM(C408)</f>
        <v>313.863</v>
      </c>
      <c r="D407" s="114">
        <f t="shared" si="142"/>
        <v>133.863</v>
      </c>
      <c r="E407" s="114">
        <f t="shared" si="142"/>
        <v>0</v>
      </c>
      <c r="F407" s="182">
        <f t="shared" si="142"/>
        <v>0</v>
      </c>
      <c r="G407" s="182">
        <f t="shared" si="142"/>
        <v>0</v>
      </c>
      <c r="H407" s="182">
        <f t="shared" si="142"/>
        <v>60</v>
      </c>
      <c r="I407" s="182">
        <f t="shared" si="142"/>
        <v>60</v>
      </c>
      <c r="J407" s="35">
        <f t="shared" si="142"/>
        <v>60</v>
      </c>
      <c r="K407" s="77" t="s">
        <v>378</v>
      </c>
    </row>
    <row r="408" spans="1:11" s="8" customFormat="1" ht="15" customHeight="1">
      <c r="A408" s="103" t="s">
        <v>332</v>
      </c>
      <c r="B408" s="10" t="s">
        <v>492</v>
      </c>
      <c r="C408" s="211">
        <f>SUM(D408:J408)</f>
        <v>313.863</v>
      </c>
      <c r="D408" s="111">
        <v>133.863</v>
      </c>
      <c r="E408" s="111">
        <v>0</v>
      </c>
      <c r="F408" s="205">
        <v>0</v>
      </c>
      <c r="G408" s="208">
        <v>0</v>
      </c>
      <c r="H408" s="208">
        <v>60</v>
      </c>
      <c r="I408" s="208">
        <v>60</v>
      </c>
      <c r="J408" s="15">
        <v>60</v>
      </c>
      <c r="K408" s="73"/>
    </row>
    <row r="409" spans="1:11" s="8" customFormat="1" ht="15" customHeight="1">
      <c r="A409" s="103"/>
      <c r="B409" s="10"/>
      <c r="C409" s="211"/>
      <c r="D409" s="111"/>
      <c r="E409" s="111"/>
      <c r="F409" s="205"/>
      <c r="G409" s="208"/>
      <c r="H409" s="208"/>
      <c r="I409" s="208"/>
      <c r="J409" s="15"/>
      <c r="K409" s="73"/>
    </row>
    <row r="410" spans="1:11" s="8" customFormat="1" ht="52.5" customHeight="1">
      <c r="A410" s="103" t="s">
        <v>334</v>
      </c>
      <c r="B410" s="43" t="s">
        <v>271</v>
      </c>
      <c r="C410" s="211">
        <f>SUM(D410:J410)</f>
        <v>310</v>
      </c>
      <c r="D410" s="114">
        <f>SUM(D411)</f>
        <v>80</v>
      </c>
      <c r="E410" s="114">
        <f aca="true" t="shared" si="143" ref="E410:J410">SUM(E411)</f>
        <v>80</v>
      </c>
      <c r="F410" s="182">
        <f t="shared" si="143"/>
        <v>0</v>
      </c>
      <c r="G410" s="182">
        <f t="shared" si="143"/>
        <v>0</v>
      </c>
      <c r="H410" s="182">
        <f t="shared" si="143"/>
        <v>50</v>
      </c>
      <c r="I410" s="182">
        <f t="shared" si="143"/>
        <v>50</v>
      </c>
      <c r="J410" s="35">
        <f t="shared" si="143"/>
        <v>50</v>
      </c>
      <c r="K410" s="77" t="s">
        <v>379</v>
      </c>
    </row>
    <row r="411" spans="1:11" s="8" customFormat="1" ht="15.75" customHeight="1">
      <c r="A411" s="102" t="s">
        <v>346</v>
      </c>
      <c r="B411" s="10" t="s">
        <v>492</v>
      </c>
      <c r="C411" s="211">
        <f>SUM(D411:J411)</f>
        <v>310</v>
      </c>
      <c r="D411" s="111">
        <v>80</v>
      </c>
      <c r="E411" s="111">
        <f>200-120</f>
        <v>80</v>
      </c>
      <c r="F411" s="205">
        <v>0</v>
      </c>
      <c r="G411" s="205">
        <v>0</v>
      </c>
      <c r="H411" s="205">
        <v>50</v>
      </c>
      <c r="I411" s="205">
        <v>50</v>
      </c>
      <c r="J411" s="52">
        <v>50</v>
      </c>
      <c r="K411" s="73"/>
    </row>
    <row r="412" spans="1:11" s="8" customFormat="1" ht="15.75" customHeight="1">
      <c r="A412" s="102"/>
      <c r="B412" s="10"/>
      <c r="C412" s="211"/>
      <c r="D412" s="111"/>
      <c r="E412" s="111"/>
      <c r="F412" s="205"/>
      <c r="G412" s="205"/>
      <c r="H412" s="205"/>
      <c r="I412" s="205"/>
      <c r="J412" s="52"/>
      <c r="K412" s="73"/>
    </row>
    <row r="413" spans="1:11" s="7" customFormat="1" ht="15" customHeight="1">
      <c r="A413" s="165"/>
      <c r="B413" s="247" t="s">
        <v>26</v>
      </c>
      <c r="C413" s="248"/>
      <c r="D413" s="248"/>
      <c r="E413" s="248"/>
      <c r="F413" s="248"/>
      <c r="G413" s="248"/>
      <c r="H413" s="248"/>
      <c r="I413" s="248"/>
      <c r="J413" s="248"/>
      <c r="K413" s="249"/>
    </row>
    <row r="414" spans="1:11" s="8" customFormat="1" ht="15.75">
      <c r="A414" s="103" t="s">
        <v>347</v>
      </c>
      <c r="B414" s="43" t="s">
        <v>27</v>
      </c>
      <c r="C414" s="211">
        <f>SUM(C415:C418)</f>
        <v>184473</v>
      </c>
      <c r="D414" s="115">
        <f>SUM(D415:D418)</f>
        <v>0</v>
      </c>
      <c r="E414" s="115">
        <f aca="true" t="shared" si="144" ref="E414:J414">SUM(E415:E418)</f>
        <v>24014</v>
      </c>
      <c r="F414" s="182">
        <f t="shared" si="144"/>
        <v>30867</v>
      </c>
      <c r="G414" s="210">
        <f t="shared" si="144"/>
        <v>34220</v>
      </c>
      <c r="H414" s="210">
        <f t="shared" si="144"/>
        <v>34360</v>
      </c>
      <c r="I414" s="210">
        <f t="shared" si="144"/>
        <v>34330</v>
      </c>
      <c r="J414" s="16">
        <f t="shared" si="144"/>
        <v>26682</v>
      </c>
      <c r="K414" s="73"/>
    </row>
    <row r="415" spans="1:11" s="8" customFormat="1" ht="15" customHeight="1">
      <c r="A415" s="103" t="s">
        <v>348</v>
      </c>
      <c r="B415" s="10" t="s">
        <v>492</v>
      </c>
      <c r="C415" s="211">
        <f>SUM(D415:J415)</f>
        <v>860</v>
      </c>
      <c r="D415" s="117">
        <f aca="true" t="shared" si="145" ref="D415:J415">SUM(D421+D427)</f>
        <v>0</v>
      </c>
      <c r="E415" s="117">
        <f t="shared" si="145"/>
        <v>0</v>
      </c>
      <c r="F415" s="214">
        <f t="shared" si="145"/>
        <v>100</v>
      </c>
      <c r="G415" s="215">
        <f t="shared" si="145"/>
        <v>0</v>
      </c>
      <c r="H415" s="215">
        <f t="shared" si="145"/>
        <v>140</v>
      </c>
      <c r="I415" s="215">
        <f t="shared" si="145"/>
        <v>110</v>
      </c>
      <c r="J415" s="22">
        <f t="shared" si="145"/>
        <v>510</v>
      </c>
      <c r="K415" s="73"/>
    </row>
    <row r="416" spans="1:11" s="8" customFormat="1" ht="15" customHeight="1">
      <c r="A416" s="103" t="s">
        <v>351</v>
      </c>
      <c r="B416" s="10" t="s">
        <v>493</v>
      </c>
      <c r="C416" s="211">
        <f>SUM(D416:J416)</f>
        <v>0</v>
      </c>
      <c r="D416" s="117"/>
      <c r="E416" s="117"/>
      <c r="F416" s="214"/>
      <c r="G416" s="215"/>
      <c r="H416" s="215"/>
      <c r="I416" s="215"/>
      <c r="J416" s="22"/>
      <c r="K416" s="73"/>
    </row>
    <row r="417" spans="1:11" s="8" customFormat="1" ht="15" customHeight="1">
      <c r="A417" s="103" t="s">
        <v>352</v>
      </c>
      <c r="B417" s="10" t="s">
        <v>494</v>
      </c>
      <c r="C417" s="211">
        <f>SUM(D417:J417)</f>
        <v>183613</v>
      </c>
      <c r="D417" s="117">
        <f>SUM(D429)</f>
        <v>0</v>
      </c>
      <c r="E417" s="117">
        <f aca="true" t="shared" si="146" ref="E417:J417">SUM(E429)</f>
        <v>24014</v>
      </c>
      <c r="F417" s="214">
        <f t="shared" si="146"/>
        <v>30767</v>
      </c>
      <c r="G417" s="215">
        <f t="shared" si="146"/>
        <v>34220</v>
      </c>
      <c r="H417" s="215">
        <f t="shared" si="146"/>
        <v>34220</v>
      </c>
      <c r="I417" s="215">
        <f t="shared" si="146"/>
        <v>34220</v>
      </c>
      <c r="J417" s="22">
        <f t="shared" si="146"/>
        <v>26172</v>
      </c>
      <c r="K417" s="73"/>
    </row>
    <row r="418" spans="1:11" s="8" customFormat="1" ht="15" customHeight="1">
      <c r="A418" s="103" t="s">
        <v>353</v>
      </c>
      <c r="B418" s="10" t="s">
        <v>495</v>
      </c>
      <c r="C418" s="211">
        <f>SUM(D418:J418)</f>
        <v>0</v>
      </c>
      <c r="D418" s="117"/>
      <c r="E418" s="117"/>
      <c r="F418" s="214"/>
      <c r="G418" s="215"/>
      <c r="H418" s="215"/>
      <c r="I418" s="215"/>
      <c r="J418" s="22"/>
      <c r="K418" s="73"/>
    </row>
    <row r="419" spans="1:11" s="8" customFormat="1" ht="15" customHeight="1">
      <c r="A419" s="166"/>
      <c r="B419" s="241" t="s">
        <v>496</v>
      </c>
      <c r="C419" s="242"/>
      <c r="D419" s="242"/>
      <c r="E419" s="242"/>
      <c r="F419" s="242"/>
      <c r="G419" s="242"/>
      <c r="H419" s="242"/>
      <c r="I419" s="242"/>
      <c r="J419" s="242"/>
      <c r="K419" s="243"/>
    </row>
    <row r="420" spans="1:11" s="8" customFormat="1" ht="35.25" customHeight="1">
      <c r="A420" s="103" t="s">
        <v>354</v>
      </c>
      <c r="B420" s="43" t="s">
        <v>519</v>
      </c>
      <c r="C420" s="211">
        <v>0</v>
      </c>
      <c r="D420" s="115"/>
      <c r="E420" s="115"/>
      <c r="F420" s="182"/>
      <c r="G420" s="210"/>
      <c r="H420" s="210"/>
      <c r="I420" s="210"/>
      <c r="J420" s="16"/>
      <c r="K420" s="73"/>
    </row>
    <row r="421" spans="1:11" s="8" customFormat="1" ht="15" customHeight="1">
      <c r="A421" s="103" t="s">
        <v>355</v>
      </c>
      <c r="B421" s="10" t="s">
        <v>492</v>
      </c>
      <c r="C421" s="211">
        <f>SUM(D421:J421)</f>
        <v>0</v>
      </c>
      <c r="D421" s="117"/>
      <c r="E421" s="117"/>
      <c r="F421" s="214"/>
      <c r="G421" s="215"/>
      <c r="H421" s="215"/>
      <c r="I421" s="215"/>
      <c r="J421" s="22"/>
      <c r="K421" s="73"/>
    </row>
    <row r="422" spans="1:11" s="8" customFormat="1" ht="15" customHeight="1">
      <c r="A422" s="169"/>
      <c r="B422" s="244" t="s">
        <v>497</v>
      </c>
      <c r="C422" s="245"/>
      <c r="D422" s="245"/>
      <c r="E422" s="245"/>
      <c r="F422" s="245"/>
      <c r="G422" s="245"/>
      <c r="H422" s="245"/>
      <c r="I422" s="245"/>
      <c r="J422" s="245"/>
      <c r="K422" s="246"/>
    </row>
    <row r="423" spans="1:11" s="8" customFormat="1" ht="48.75" customHeight="1">
      <c r="A423" s="103" t="s">
        <v>356</v>
      </c>
      <c r="B423" s="43" t="s">
        <v>243</v>
      </c>
      <c r="C423" s="211">
        <v>0</v>
      </c>
      <c r="D423" s="115"/>
      <c r="E423" s="115"/>
      <c r="F423" s="182"/>
      <c r="G423" s="210"/>
      <c r="H423" s="210"/>
      <c r="I423" s="210"/>
      <c r="J423" s="16"/>
      <c r="K423" s="73"/>
    </row>
    <row r="424" spans="1:11" s="8" customFormat="1" ht="15" customHeight="1">
      <c r="A424" s="103" t="s">
        <v>357</v>
      </c>
      <c r="B424" s="10" t="s">
        <v>492</v>
      </c>
      <c r="C424" s="211">
        <f>SUM(D424:J424)</f>
        <v>0</v>
      </c>
      <c r="D424" s="117"/>
      <c r="E424" s="117"/>
      <c r="F424" s="214"/>
      <c r="G424" s="215"/>
      <c r="H424" s="215"/>
      <c r="I424" s="215"/>
      <c r="J424" s="22"/>
      <c r="K424" s="73"/>
    </row>
    <row r="425" spans="1:11" s="8" customFormat="1" ht="15" customHeight="1">
      <c r="A425" s="166"/>
      <c r="B425" s="241" t="s">
        <v>500</v>
      </c>
      <c r="C425" s="242"/>
      <c r="D425" s="242"/>
      <c r="E425" s="242"/>
      <c r="F425" s="242"/>
      <c r="G425" s="242"/>
      <c r="H425" s="242"/>
      <c r="I425" s="242"/>
      <c r="J425" s="242"/>
      <c r="K425" s="243"/>
    </row>
    <row r="426" spans="1:11" s="8" customFormat="1" ht="31.5">
      <c r="A426" s="103" t="s">
        <v>358</v>
      </c>
      <c r="B426" s="43" t="s">
        <v>501</v>
      </c>
      <c r="C426" s="211">
        <f>SUM(B427:C429)</f>
        <v>184473</v>
      </c>
      <c r="D426" s="115">
        <v>0</v>
      </c>
      <c r="E426" s="114">
        <f aca="true" t="shared" si="147" ref="E426:J426">SUM(E427:E429)</f>
        <v>24014</v>
      </c>
      <c r="F426" s="182">
        <f t="shared" si="147"/>
        <v>30867</v>
      </c>
      <c r="G426" s="210">
        <f t="shared" si="147"/>
        <v>34220</v>
      </c>
      <c r="H426" s="210">
        <f t="shared" si="147"/>
        <v>34360</v>
      </c>
      <c r="I426" s="210">
        <f t="shared" si="147"/>
        <v>34330</v>
      </c>
      <c r="J426" s="16">
        <f t="shared" si="147"/>
        <v>26682</v>
      </c>
      <c r="K426" s="79"/>
    </row>
    <row r="427" spans="1:11" s="8" customFormat="1" ht="15" customHeight="1">
      <c r="A427" s="103" t="s">
        <v>384</v>
      </c>
      <c r="B427" s="10" t="s">
        <v>492</v>
      </c>
      <c r="C427" s="211">
        <f>SUM(D427:J427)</f>
        <v>860</v>
      </c>
      <c r="D427" s="117">
        <f>SUM(D435+D438+D441+D444)</f>
        <v>0</v>
      </c>
      <c r="E427" s="95">
        <f aca="true" t="shared" si="148" ref="E427:J427">SUM(E435+E438+E441+E444)</f>
        <v>0</v>
      </c>
      <c r="F427" s="214">
        <f t="shared" si="148"/>
        <v>100</v>
      </c>
      <c r="G427" s="215">
        <f t="shared" si="148"/>
        <v>0</v>
      </c>
      <c r="H427" s="215">
        <f t="shared" si="148"/>
        <v>140</v>
      </c>
      <c r="I427" s="215">
        <f t="shared" si="148"/>
        <v>110</v>
      </c>
      <c r="J427" s="22">
        <f t="shared" si="148"/>
        <v>510</v>
      </c>
      <c r="K427" s="79"/>
    </row>
    <row r="428" spans="1:11" s="8" customFormat="1" ht="15" customHeight="1">
      <c r="A428" s="103" t="s">
        <v>385</v>
      </c>
      <c r="B428" s="10" t="s">
        <v>493</v>
      </c>
      <c r="C428" s="211">
        <f>SUM(D428:J428)</f>
        <v>0</v>
      </c>
      <c r="D428" s="117">
        <v>0</v>
      </c>
      <c r="E428" s="95">
        <v>0</v>
      </c>
      <c r="F428" s="214">
        <v>0</v>
      </c>
      <c r="G428" s="215">
        <v>0</v>
      </c>
      <c r="H428" s="215">
        <v>0</v>
      </c>
      <c r="I428" s="215">
        <v>0</v>
      </c>
      <c r="J428" s="22">
        <v>0</v>
      </c>
      <c r="K428" s="73"/>
    </row>
    <row r="429" spans="1:11" s="8" customFormat="1" ht="15" customHeight="1">
      <c r="A429" s="103" t="s">
        <v>386</v>
      </c>
      <c r="B429" s="10" t="s">
        <v>494</v>
      </c>
      <c r="C429" s="211">
        <f>SUM(D429:J429)</f>
        <v>183613</v>
      </c>
      <c r="D429" s="95">
        <f aca="true" t="shared" si="149" ref="D429:J429">SUM(D432)</f>
        <v>0</v>
      </c>
      <c r="E429" s="95">
        <f t="shared" si="149"/>
        <v>24014</v>
      </c>
      <c r="F429" s="214">
        <f t="shared" si="149"/>
        <v>30767</v>
      </c>
      <c r="G429" s="214">
        <f t="shared" si="149"/>
        <v>34220</v>
      </c>
      <c r="H429" s="214">
        <f t="shared" si="149"/>
        <v>34220</v>
      </c>
      <c r="I429" s="214">
        <f t="shared" si="149"/>
        <v>34220</v>
      </c>
      <c r="J429" s="34">
        <f t="shared" si="149"/>
        <v>26172</v>
      </c>
      <c r="K429" s="73"/>
    </row>
    <row r="430" spans="1:11" s="8" customFormat="1" ht="15" customHeight="1">
      <c r="A430" s="103"/>
      <c r="B430" s="10"/>
      <c r="C430" s="211"/>
      <c r="D430" s="95"/>
      <c r="E430" s="95"/>
      <c r="F430" s="214"/>
      <c r="G430" s="214"/>
      <c r="H430" s="214"/>
      <c r="I430" s="214"/>
      <c r="J430" s="34"/>
      <c r="K430" s="73"/>
    </row>
    <row r="431" spans="1:11" s="8" customFormat="1" ht="61.5" customHeight="1">
      <c r="A431" s="103" t="s">
        <v>387</v>
      </c>
      <c r="B431" s="43" t="s">
        <v>28</v>
      </c>
      <c r="C431" s="210">
        <f aca="true" t="shared" si="150" ref="C431:J431">SUM(C432)</f>
        <v>183613</v>
      </c>
      <c r="D431" s="114">
        <f t="shared" si="150"/>
        <v>0</v>
      </c>
      <c r="E431" s="114">
        <f t="shared" si="150"/>
        <v>24014</v>
      </c>
      <c r="F431" s="182">
        <f t="shared" si="150"/>
        <v>30767</v>
      </c>
      <c r="G431" s="182">
        <f t="shared" si="150"/>
        <v>34220</v>
      </c>
      <c r="H431" s="182">
        <f t="shared" si="150"/>
        <v>34220</v>
      </c>
      <c r="I431" s="182">
        <f t="shared" si="150"/>
        <v>34220</v>
      </c>
      <c r="J431" s="35">
        <f t="shared" si="150"/>
        <v>26172</v>
      </c>
      <c r="K431" s="77" t="s">
        <v>370</v>
      </c>
    </row>
    <row r="432" spans="1:11" s="8" customFormat="1" ht="15.75" customHeight="1">
      <c r="A432" s="103" t="s">
        <v>411</v>
      </c>
      <c r="B432" s="10" t="s">
        <v>494</v>
      </c>
      <c r="C432" s="211">
        <f>SUM(D432:J432)</f>
        <v>183613</v>
      </c>
      <c r="D432" s="95">
        <v>0</v>
      </c>
      <c r="E432" s="95">
        <v>24014</v>
      </c>
      <c r="F432" s="214">
        <f>30767</f>
        <v>30767</v>
      </c>
      <c r="G432" s="214">
        <v>34220</v>
      </c>
      <c r="H432" s="214">
        <v>34220</v>
      </c>
      <c r="I432" s="214">
        <v>34220</v>
      </c>
      <c r="J432" s="34">
        <v>26172</v>
      </c>
      <c r="K432" s="77"/>
    </row>
    <row r="433" spans="1:11" s="8" customFormat="1" ht="15.75" customHeight="1">
      <c r="A433" s="103"/>
      <c r="B433" s="10"/>
      <c r="C433" s="211"/>
      <c r="D433" s="95"/>
      <c r="E433" s="95"/>
      <c r="F433" s="214"/>
      <c r="G433" s="214"/>
      <c r="H433" s="214"/>
      <c r="I433" s="214"/>
      <c r="J433" s="34"/>
      <c r="K433" s="77"/>
    </row>
    <row r="434" spans="1:11" s="8" customFormat="1" ht="48" customHeight="1">
      <c r="A434" s="102" t="s">
        <v>412</v>
      </c>
      <c r="B434" s="43" t="s">
        <v>29</v>
      </c>
      <c r="C434" s="211">
        <f>SUM(D434:J434)</f>
        <v>800</v>
      </c>
      <c r="D434" s="114">
        <f>SUM(D435)</f>
        <v>0</v>
      </c>
      <c r="E434" s="114">
        <f aca="true" t="shared" si="151" ref="E434:J434">SUM(E435)</f>
        <v>0</v>
      </c>
      <c r="F434" s="182">
        <f t="shared" si="151"/>
        <v>100</v>
      </c>
      <c r="G434" s="182">
        <f t="shared" si="151"/>
        <v>0</v>
      </c>
      <c r="H434" s="182">
        <f t="shared" si="151"/>
        <v>100</v>
      </c>
      <c r="I434" s="182">
        <f t="shared" si="151"/>
        <v>100</v>
      </c>
      <c r="J434" s="35">
        <f t="shared" si="151"/>
        <v>500</v>
      </c>
      <c r="K434" s="77" t="s">
        <v>380</v>
      </c>
    </row>
    <row r="435" spans="1:11" s="8" customFormat="1" ht="15.75" customHeight="1">
      <c r="A435" s="102" t="s">
        <v>413</v>
      </c>
      <c r="B435" s="10" t="s">
        <v>492</v>
      </c>
      <c r="C435" s="211">
        <f>SUM(D435:J435)</f>
        <v>800</v>
      </c>
      <c r="D435" s="111">
        <v>0</v>
      </c>
      <c r="E435" s="111">
        <v>0</v>
      </c>
      <c r="F435" s="205">
        <v>100</v>
      </c>
      <c r="G435" s="205"/>
      <c r="H435" s="205">
        <f>100</f>
        <v>100</v>
      </c>
      <c r="I435" s="205">
        <f>100</f>
        <v>100</v>
      </c>
      <c r="J435" s="52">
        <v>500</v>
      </c>
      <c r="K435" s="77"/>
    </row>
    <row r="436" spans="1:11" s="8" customFormat="1" ht="15.75" customHeight="1">
      <c r="A436" s="102"/>
      <c r="B436" s="10"/>
      <c r="C436" s="211"/>
      <c r="D436" s="111"/>
      <c r="E436" s="111"/>
      <c r="F436" s="205"/>
      <c r="G436" s="205"/>
      <c r="H436" s="205"/>
      <c r="I436" s="205"/>
      <c r="J436" s="52"/>
      <c r="K436" s="77"/>
    </row>
    <row r="437" spans="1:11" s="8" customFormat="1" ht="52.5" customHeight="1">
      <c r="A437" s="102" t="s">
        <v>448</v>
      </c>
      <c r="B437" s="43" t="s">
        <v>30</v>
      </c>
      <c r="C437" s="211">
        <f>SUM(D437:J437)</f>
        <v>30</v>
      </c>
      <c r="D437" s="114">
        <f>SUM(D438)</f>
        <v>0</v>
      </c>
      <c r="E437" s="114">
        <f aca="true" t="shared" si="152" ref="E437:J437">SUM(E438)</f>
        <v>0</v>
      </c>
      <c r="F437" s="182">
        <f t="shared" si="152"/>
        <v>0</v>
      </c>
      <c r="G437" s="182">
        <f t="shared" si="152"/>
        <v>0</v>
      </c>
      <c r="H437" s="182">
        <f t="shared" si="152"/>
        <v>10</v>
      </c>
      <c r="I437" s="182">
        <f t="shared" si="152"/>
        <v>10</v>
      </c>
      <c r="J437" s="35">
        <f t="shared" si="152"/>
        <v>10</v>
      </c>
      <c r="K437" s="77" t="s">
        <v>381</v>
      </c>
    </row>
    <row r="438" spans="1:11" s="8" customFormat="1" ht="15.75" customHeight="1">
      <c r="A438" s="102" t="s">
        <v>463</v>
      </c>
      <c r="B438" s="10" t="s">
        <v>492</v>
      </c>
      <c r="C438" s="211">
        <f>SUM(D438:J438)</f>
        <v>30</v>
      </c>
      <c r="D438" s="111"/>
      <c r="E438" s="111"/>
      <c r="F438" s="205"/>
      <c r="G438" s="205"/>
      <c r="H438" s="205">
        <v>10</v>
      </c>
      <c r="I438" s="205">
        <v>10</v>
      </c>
      <c r="J438" s="52">
        <v>10</v>
      </c>
      <c r="K438" s="77"/>
    </row>
    <row r="439" spans="1:11" s="8" customFormat="1" ht="15.75" customHeight="1">
      <c r="A439" s="102"/>
      <c r="B439" s="10"/>
      <c r="C439" s="211"/>
      <c r="D439" s="111"/>
      <c r="E439" s="111"/>
      <c r="F439" s="205"/>
      <c r="G439" s="205"/>
      <c r="H439" s="205"/>
      <c r="I439" s="205"/>
      <c r="J439" s="52"/>
      <c r="K439" s="77"/>
    </row>
    <row r="440" spans="1:11" s="8" customFormat="1" ht="34.5" customHeight="1">
      <c r="A440" s="102" t="s">
        <v>464</v>
      </c>
      <c r="B440" s="43" t="s">
        <v>31</v>
      </c>
      <c r="C440" s="211">
        <v>0</v>
      </c>
      <c r="D440" s="114">
        <f>SUM(D441)</f>
        <v>0</v>
      </c>
      <c r="E440" s="114">
        <f aca="true" t="shared" si="153" ref="E440:J440">SUM(E441)</f>
        <v>0</v>
      </c>
      <c r="F440" s="182">
        <f t="shared" si="153"/>
        <v>0</v>
      </c>
      <c r="G440" s="182">
        <f t="shared" si="153"/>
        <v>0</v>
      </c>
      <c r="H440" s="182">
        <f t="shared" si="153"/>
        <v>0</v>
      </c>
      <c r="I440" s="182">
        <f t="shared" si="153"/>
        <v>0</v>
      </c>
      <c r="J440" s="35">
        <f t="shared" si="153"/>
        <v>0</v>
      </c>
      <c r="K440" s="77" t="s">
        <v>382</v>
      </c>
    </row>
    <row r="441" spans="1:11" s="8" customFormat="1" ht="15.75" customHeight="1">
      <c r="A441" s="102" t="s">
        <v>465</v>
      </c>
      <c r="B441" s="10" t="s">
        <v>492</v>
      </c>
      <c r="C441" s="211">
        <v>0</v>
      </c>
      <c r="D441" s="111"/>
      <c r="E441" s="111"/>
      <c r="F441" s="205"/>
      <c r="G441" s="205"/>
      <c r="H441" s="205"/>
      <c r="I441" s="205"/>
      <c r="J441" s="52"/>
      <c r="K441" s="77"/>
    </row>
    <row r="442" spans="1:11" s="8" customFormat="1" ht="15.75" customHeight="1">
      <c r="A442" s="102"/>
      <c r="B442" s="10"/>
      <c r="C442" s="211"/>
      <c r="D442" s="111"/>
      <c r="E442" s="111"/>
      <c r="F442" s="205"/>
      <c r="G442" s="205"/>
      <c r="H442" s="205"/>
      <c r="I442" s="205"/>
      <c r="J442" s="52"/>
      <c r="K442" s="77"/>
    </row>
    <row r="443" spans="1:11" s="8" customFormat="1" ht="49.5" customHeight="1">
      <c r="A443" s="102" t="s">
        <v>466</v>
      </c>
      <c r="B443" s="43" t="s">
        <v>32</v>
      </c>
      <c r="C443" s="211">
        <f>SUM(D443:J443)</f>
        <v>30</v>
      </c>
      <c r="D443" s="114">
        <f aca="true" t="shared" si="154" ref="D443:J443">SUM(D444)</f>
        <v>0</v>
      </c>
      <c r="E443" s="114">
        <f t="shared" si="154"/>
        <v>0</v>
      </c>
      <c r="F443" s="182">
        <f t="shared" si="154"/>
        <v>0</v>
      </c>
      <c r="G443" s="182">
        <f t="shared" si="154"/>
        <v>0</v>
      </c>
      <c r="H443" s="182">
        <f t="shared" si="154"/>
        <v>30</v>
      </c>
      <c r="I443" s="182">
        <f t="shared" si="154"/>
        <v>0</v>
      </c>
      <c r="J443" s="35">
        <f t="shared" si="154"/>
        <v>0</v>
      </c>
      <c r="K443" s="77" t="s">
        <v>383</v>
      </c>
    </row>
    <row r="444" spans="1:11" s="8" customFormat="1" ht="15.75" customHeight="1">
      <c r="A444" s="102" t="s">
        <v>484</v>
      </c>
      <c r="B444" s="10" t="s">
        <v>492</v>
      </c>
      <c r="C444" s="211">
        <f>SUM(D444:J444)</f>
        <v>30</v>
      </c>
      <c r="D444" s="111"/>
      <c r="E444" s="111"/>
      <c r="F444" s="205"/>
      <c r="G444" s="205"/>
      <c r="H444" s="205">
        <v>30</v>
      </c>
      <c r="I444" s="205"/>
      <c r="J444" s="52"/>
      <c r="K444" s="73"/>
    </row>
    <row r="446" ht="12.75" customHeight="1" hidden="1">
      <c r="C446" s="3" t="s">
        <v>531</v>
      </c>
    </row>
    <row r="447" spans="2:11" ht="12.75" customHeight="1" hidden="1">
      <c r="B447" s="53" t="s">
        <v>0</v>
      </c>
      <c r="C447" s="16">
        <f aca="true" t="shared" si="155" ref="C447:C452">SUM(D447:J447)</f>
        <v>5004877.01766</v>
      </c>
      <c r="D447" s="54">
        <f aca="true" t="shared" si="156" ref="D447:J447">SUM(D18)</f>
        <v>707299.138</v>
      </c>
      <c r="E447" s="54">
        <f t="shared" si="156"/>
        <v>713636.937</v>
      </c>
      <c r="F447" s="35">
        <f t="shared" si="156"/>
        <v>702956.4426600001</v>
      </c>
      <c r="G447" s="54">
        <f t="shared" si="156"/>
        <v>700333.4</v>
      </c>
      <c r="H447" s="54">
        <f t="shared" si="156"/>
        <v>696626.5</v>
      </c>
      <c r="I447" s="54">
        <f t="shared" si="156"/>
        <v>698458.3</v>
      </c>
      <c r="J447" s="54">
        <f t="shared" si="156"/>
        <v>785566.3</v>
      </c>
      <c r="K447" s="80"/>
    </row>
    <row r="448" spans="2:11" ht="12.75" customHeight="1" hidden="1">
      <c r="B448" s="55" t="s">
        <v>1</v>
      </c>
      <c r="C448" s="56">
        <f t="shared" si="155"/>
        <v>36798.448000000004</v>
      </c>
      <c r="D448" s="57">
        <f>SUM(D218+D249+D255)</f>
        <v>36798.448000000004</v>
      </c>
      <c r="E448" s="57">
        <f aca="true" t="shared" si="157" ref="E448:J448">SUM(E218+E249)</f>
        <v>0</v>
      </c>
      <c r="F448" s="174">
        <f t="shared" si="157"/>
        <v>0</v>
      </c>
      <c r="G448" s="57">
        <f t="shared" si="157"/>
        <v>0</v>
      </c>
      <c r="H448" s="57">
        <f t="shared" si="157"/>
        <v>0</v>
      </c>
      <c r="I448" s="57">
        <f t="shared" si="157"/>
        <v>0</v>
      </c>
      <c r="J448" s="57">
        <f t="shared" si="157"/>
        <v>0</v>
      </c>
      <c r="K448" s="73"/>
    </row>
    <row r="449" spans="2:11" ht="12.75" customHeight="1" hidden="1">
      <c r="B449" s="55" t="s">
        <v>18</v>
      </c>
      <c r="C449" s="56">
        <f t="shared" si="155"/>
        <v>57099.123</v>
      </c>
      <c r="D449" s="57">
        <f aca="true" t="shared" si="158" ref="D449:J449">SUM(D43)</f>
        <v>49099.123</v>
      </c>
      <c r="E449" s="57">
        <f t="shared" si="158"/>
        <v>0</v>
      </c>
      <c r="F449" s="174">
        <f t="shared" si="158"/>
        <v>0</v>
      </c>
      <c r="G449" s="57">
        <f t="shared" si="158"/>
        <v>8000</v>
      </c>
      <c r="H449" s="57">
        <f t="shared" si="158"/>
        <v>0</v>
      </c>
      <c r="I449" s="57">
        <f t="shared" si="158"/>
        <v>0</v>
      </c>
      <c r="J449" s="57">
        <f t="shared" si="158"/>
        <v>0</v>
      </c>
      <c r="K449" s="73"/>
    </row>
    <row r="450" spans="2:11" ht="12.75" customHeight="1" hidden="1">
      <c r="B450" s="55" t="s">
        <v>19</v>
      </c>
      <c r="C450" s="56">
        <f t="shared" si="155"/>
        <v>3103.2219999999998</v>
      </c>
      <c r="D450" s="57">
        <f aca="true" t="shared" si="159" ref="D450:J450">SUM(D124)</f>
        <v>2207</v>
      </c>
      <c r="E450" s="57">
        <f t="shared" si="159"/>
        <v>896.222</v>
      </c>
      <c r="F450" s="174">
        <f t="shared" si="159"/>
        <v>0</v>
      </c>
      <c r="G450" s="57">
        <f t="shared" si="159"/>
        <v>0</v>
      </c>
      <c r="H450" s="57">
        <f t="shared" si="159"/>
        <v>0</v>
      </c>
      <c r="I450" s="57">
        <f t="shared" si="159"/>
        <v>0</v>
      </c>
      <c r="J450" s="57">
        <f t="shared" si="159"/>
        <v>0</v>
      </c>
      <c r="K450" s="73"/>
    </row>
    <row r="451" spans="2:11" ht="12.75" customHeight="1" hidden="1">
      <c r="B451" s="55" t="s">
        <v>5</v>
      </c>
      <c r="C451" s="56">
        <f t="shared" si="155"/>
        <v>287697.4</v>
      </c>
      <c r="D451" s="57">
        <f aca="true" t="shared" si="160" ref="D451:J451">SUM(D22)</f>
        <v>35197.4</v>
      </c>
      <c r="E451" s="57">
        <f t="shared" si="160"/>
        <v>38000</v>
      </c>
      <c r="F451" s="174">
        <f t="shared" si="160"/>
        <v>41700</v>
      </c>
      <c r="G451" s="57">
        <f t="shared" si="160"/>
        <v>43200</v>
      </c>
      <c r="H451" s="57">
        <f t="shared" si="160"/>
        <v>43200</v>
      </c>
      <c r="I451" s="57">
        <f t="shared" si="160"/>
        <v>43200</v>
      </c>
      <c r="J451" s="57">
        <f t="shared" si="160"/>
        <v>43200</v>
      </c>
      <c r="K451" s="73"/>
    </row>
    <row r="452" spans="2:11" ht="12.75" customHeight="1" hidden="1">
      <c r="B452" s="58"/>
      <c r="C452" s="56">
        <f t="shared" si="155"/>
        <v>0</v>
      </c>
      <c r="D452" s="57"/>
      <c r="E452" s="57"/>
      <c r="F452" s="174"/>
      <c r="G452" s="57"/>
      <c r="H452" s="57"/>
      <c r="I452" s="57"/>
      <c r="J452" s="57"/>
      <c r="K452" s="73"/>
    </row>
    <row r="453" spans="2:11" ht="12.75" customHeight="1" hidden="1">
      <c r="B453" s="106"/>
      <c r="C453" s="16"/>
      <c r="D453" s="51"/>
      <c r="E453" s="51"/>
      <c r="F453" s="52"/>
      <c r="G453" s="51"/>
      <c r="H453" s="51"/>
      <c r="I453" s="51"/>
      <c r="J453" s="51"/>
      <c r="K453" s="73"/>
    </row>
    <row r="454" spans="2:11" ht="12.75" customHeight="1" hidden="1">
      <c r="B454" s="59" t="s">
        <v>2</v>
      </c>
      <c r="C454" s="60">
        <f>SUM(D454:J454)</f>
        <v>1400</v>
      </c>
      <c r="D454" s="61">
        <v>400</v>
      </c>
      <c r="E454" s="62">
        <v>500</v>
      </c>
      <c r="F454" s="62">
        <v>500</v>
      </c>
      <c r="G454" s="62"/>
      <c r="H454" s="62"/>
      <c r="I454" s="62"/>
      <c r="J454" s="62"/>
      <c r="K454" s="73"/>
    </row>
    <row r="455" spans="2:11" ht="25.5" customHeight="1" hidden="1">
      <c r="B455" s="65" t="s">
        <v>12</v>
      </c>
      <c r="C455" s="60">
        <f>SUM(D455:J455)</f>
        <v>199.6</v>
      </c>
      <c r="D455" s="61">
        <v>99.6</v>
      </c>
      <c r="E455" s="62">
        <v>24</v>
      </c>
      <c r="F455" s="62">
        <v>76</v>
      </c>
      <c r="G455" s="62"/>
      <c r="H455" s="62"/>
      <c r="I455" s="62"/>
      <c r="J455" s="62"/>
      <c r="K455" s="73"/>
    </row>
    <row r="456" spans="2:11" ht="12.75" customHeight="1" hidden="1">
      <c r="B456" s="59" t="s">
        <v>3</v>
      </c>
      <c r="C456" s="60">
        <f>SUM(D456:J456)</f>
        <v>735</v>
      </c>
      <c r="D456" s="61">
        <f>243.2+248.6</f>
        <v>491.79999999999995</v>
      </c>
      <c r="E456" s="62"/>
      <c r="F456" s="62">
        <v>243.2</v>
      </c>
      <c r="G456" s="62"/>
      <c r="H456" s="62"/>
      <c r="I456" s="62"/>
      <c r="J456" s="62"/>
      <c r="K456" s="73"/>
    </row>
    <row r="457" spans="2:11" ht="25.5" customHeight="1" hidden="1">
      <c r="B457" s="65" t="s">
        <v>11</v>
      </c>
      <c r="C457" s="60">
        <f>SUM(D457:J457)</f>
        <v>390</v>
      </c>
      <c r="D457" s="61">
        <v>390</v>
      </c>
      <c r="E457" s="62"/>
      <c r="F457" s="62"/>
      <c r="G457" s="62"/>
      <c r="H457" s="62"/>
      <c r="I457" s="62"/>
      <c r="J457" s="62"/>
      <c r="K457" s="73"/>
    </row>
    <row r="458" spans="2:11" ht="25.5" customHeight="1" hidden="1">
      <c r="B458" s="65" t="s">
        <v>10</v>
      </c>
      <c r="C458" s="60">
        <f>SUM(D458:J458)</f>
        <v>14953</v>
      </c>
      <c r="D458" s="61">
        <f>8343+6610</f>
        <v>14953</v>
      </c>
      <c r="E458" s="62"/>
      <c r="F458" s="62"/>
      <c r="G458" s="62"/>
      <c r="H458" s="62"/>
      <c r="I458" s="62"/>
      <c r="J458" s="62"/>
      <c r="K458" s="73"/>
    </row>
    <row r="459" spans="2:11" ht="12.75" customHeight="1" hidden="1">
      <c r="B459" s="106"/>
      <c r="C459" s="16"/>
      <c r="D459" s="51"/>
      <c r="E459" s="52"/>
      <c r="F459" s="52"/>
      <c r="G459" s="52"/>
      <c r="H459" s="52"/>
      <c r="I459" s="52"/>
      <c r="J459" s="52"/>
      <c r="K459" s="73"/>
    </row>
    <row r="460" spans="2:11" ht="12.75" customHeight="1" hidden="1">
      <c r="B460" s="106" t="s">
        <v>9</v>
      </c>
      <c r="C460" s="16">
        <f>SUM(D460:J460)</f>
        <v>4637856.42466</v>
      </c>
      <c r="D460" s="51">
        <f>SUM(D447-D448-D449-D450-D451-D452+D454+D455+D456+D457+D458)</f>
        <v>600331.567</v>
      </c>
      <c r="E460" s="51">
        <f aca="true" t="shared" si="161" ref="E460:J460">SUM(E447-E448-E449-E450-E451-E452+E454+E455+E456+E457+E458)</f>
        <v>675264.7150000001</v>
      </c>
      <c r="F460" s="52">
        <f t="shared" si="161"/>
        <v>662075.64266</v>
      </c>
      <c r="G460" s="51">
        <f t="shared" si="161"/>
        <v>649133.4</v>
      </c>
      <c r="H460" s="51">
        <f t="shared" si="161"/>
        <v>653426.5</v>
      </c>
      <c r="I460" s="51">
        <f t="shared" si="161"/>
        <v>655258.3</v>
      </c>
      <c r="J460" s="51">
        <f t="shared" si="161"/>
        <v>742366.3</v>
      </c>
      <c r="K460" s="73"/>
    </row>
    <row r="461" spans="1:11" s="3" customFormat="1" ht="38.25" customHeight="1" hidden="1">
      <c r="A461" s="162"/>
      <c r="B461" s="84" t="s">
        <v>17</v>
      </c>
      <c r="C461" s="16">
        <f>SUM(D461:J461)</f>
        <v>1879872.9599999997</v>
      </c>
      <c r="D461" s="54">
        <f>577370.1-1100+1148+877+1245.1+750+390+248.6+8343+6610+3606.7+210.16-1207+657.7+6741-9304-896</f>
        <v>595690.3599999999</v>
      </c>
      <c r="E461" s="54">
        <f>609594.9+5000+930</f>
        <v>615524.9</v>
      </c>
      <c r="F461" s="35">
        <f>662674.7+5000+983</f>
        <v>668657.7</v>
      </c>
      <c r="G461" s="54"/>
      <c r="H461" s="54"/>
      <c r="I461" s="54"/>
      <c r="J461" s="54"/>
      <c r="K461" s="80"/>
    </row>
    <row r="462" spans="1:11" s="63" customFormat="1" ht="12.75" customHeight="1" hidden="1">
      <c r="A462" s="162"/>
      <c r="B462" s="106" t="s">
        <v>4</v>
      </c>
      <c r="C462" s="109">
        <f>SUM(D462:J462)</f>
        <v>2757983.4646600005</v>
      </c>
      <c r="D462" s="64">
        <f aca="true" t="shared" si="162" ref="D462:J462">D460-D461</f>
        <v>4641.2070000001695</v>
      </c>
      <c r="E462" s="64">
        <f t="shared" si="162"/>
        <v>59739.81500000006</v>
      </c>
      <c r="F462" s="30">
        <f t="shared" si="162"/>
        <v>-6582.057339999941</v>
      </c>
      <c r="G462" s="64">
        <f t="shared" si="162"/>
        <v>649133.4</v>
      </c>
      <c r="H462" s="64">
        <f t="shared" si="162"/>
        <v>653426.5</v>
      </c>
      <c r="I462" s="64">
        <f t="shared" si="162"/>
        <v>655258.3</v>
      </c>
      <c r="J462" s="64">
        <f t="shared" si="162"/>
        <v>742366.3</v>
      </c>
      <c r="K462" s="75"/>
    </row>
    <row r="463" ht="12.75" customHeight="1" hidden="1"/>
    <row r="464" ht="12.75" customHeight="1" hidden="1"/>
    <row r="465" spans="2:3" ht="12.75" customHeight="1" hidden="1">
      <c r="B465" s="83" t="s">
        <v>6</v>
      </c>
      <c r="C465" s="3" t="s">
        <v>7</v>
      </c>
    </row>
    <row r="466" ht="12.75" customHeight="1" hidden="1"/>
    <row r="467" ht="12.75" customHeight="1" hidden="1">
      <c r="B467" s="105" t="s">
        <v>16</v>
      </c>
    </row>
    <row r="468" ht="12.75" customHeight="1" hidden="1"/>
    <row r="469" ht="12.75" customHeight="1" hidden="1"/>
    <row r="470" spans="2:10" ht="12.75" hidden="1">
      <c r="B470" s="187" t="s">
        <v>456</v>
      </c>
      <c r="C470" s="184"/>
      <c r="D470" s="185"/>
      <c r="E470" s="185"/>
      <c r="F470" s="186"/>
      <c r="G470" s="188">
        <f>244554.7+6475+12.6</f>
        <v>251042.30000000002</v>
      </c>
      <c r="H470" s="188">
        <f>248610.8+12.6</f>
        <v>248623.4</v>
      </c>
      <c r="I470" s="188">
        <f>255152.4+12.6</f>
        <v>255165</v>
      </c>
      <c r="J470" s="185"/>
    </row>
    <row r="471" spans="3:10" ht="12.75" hidden="1">
      <c r="C471" s="3" t="s">
        <v>490</v>
      </c>
      <c r="D471" s="189">
        <v>2014</v>
      </c>
      <c r="E471" s="189">
        <v>2015</v>
      </c>
      <c r="F471" s="190">
        <v>2016</v>
      </c>
      <c r="G471" s="190">
        <v>2017</v>
      </c>
      <c r="H471" s="190">
        <v>2018</v>
      </c>
      <c r="I471" s="190">
        <v>2019</v>
      </c>
      <c r="J471" s="190">
        <v>2020</v>
      </c>
    </row>
    <row r="472" ht="12.75" hidden="1"/>
    <row r="473" spans="2:10" ht="12.75" hidden="1">
      <c r="B473" s="187" t="s">
        <v>467</v>
      </c>
      <c r="C473" s="184"/>
      <c r="D473" s="185"/>
      <c r="E473" s="185"/>
      <c r="F473" s="186"/>
      <c r="G473" s="188">
        <f>G18-G470</f>
        <v>449291.1</v>
      </c>
      <c r="H473" s="188">
        <f>H18-H470</f>
        <v>448003.1</v>
      </c>
      <c r="I473" s="188">
        <f>I18-I470</f>
        <v>443293.30000000005</v>
      </c>
      <c r="J473" s="185"/>
    </row>
    <row r="474" spans="2:10" ht="12.75" hidden="1">
      <c r="B474" s="106" t="s">
        <v>457</v>
      </c>
      <c r="C474" s="184"/>
      <c r="D474" s="185"/>
      <c r="E474" s="185"/>
      <c r="F474" s="186"/>
      <c r="G474" s="188">
        <f>523.5+12.6</f>
        <v>536.1</v>
      </c>
      <c r="H474" s="188">
        <f>568.3+12.6</f>
        <v>580.9</v>
      </c>
      <c r="I474" s="188">
        <f>521.3+12.6</f>
        <v>533.9</v>
      </c>
      <c r="J474" s="185"/>
    </row>
    <row r="475" spans="2:10" ht="12.75" hidden="1">
      <c r="B475" s="106" t="s">
        <v>458</v>
      </c>
      <c r="C475" s="184"/>
      <c r="D475" s="185"/>
      <c r="E475" s="185"/>
      <c r="F475" s="186"/>
      <c r="G475" s="188"/>
      <c r="H475" s="188">
        <v>243.2</v>
      </c>
      <c r="I475" s="188"/>
      <c r="J475" s="185"/>
    </row>
    <row r="476" spans="1:11" s="3" customFormat="1" ht="12.75" hidden="1">
      <c r="A476" s="191"/>
      <c r="B476" s="53" t="s">
        <v>459</v>
      </c>
      <c r="C476" s="184"/>
      <c r="D476" s="184"/>
      <c r="E476" s="184"/>
      <c r="F476" s="192"/>
      <c r="G476" s="193">
        <f>SUM(G474:G475)</f>
        <v>536.1</v>
      </c>
      <c r="H476" s="193">
        <f>SUM(H474:H475)</f>
        <v>824.0999999999999</v>
      </c>
      <c r="I476" s="193">
        <f>SUM(I474:I475)</f>
        <v>533.9</v>
      </c>
      <c r="J476" s="184"/>
      <c r="K476" s="194"/>
    </row>
    <row r="477" spans="1:11" s="202" customFormat="1" ht="11.25" hidden="1">
      <c r="A477" s="195"/>
      <c r="B477" s="196" t="s">
        <v>460</v>
      </c>
      <c r="C477" s="197"/>
      <c r="D477" s="198"/>
      <c r="E477" s="198"/>
      <c r="F477" s="199"/>
      <c r="G477" s="200">
        <f>G476+G473</f>
        <v>449827.19999999995</v>
      </c>
      <c r="H477" s="200">
        <f>H476+H473</f>
        <v>448827.19999999995</v>
      </c>
      <c r="I477" s="200">
        <f>I476+I473</f>
        <v>443827.20000000007</v>
      </c>
      <c r="J477" s="198"/>
      <c r="K477" s="201"/>
    </row>
    <row r="478" ht="12.75" hidden="1"/>
  </sheetData>
  <sheetProtection/>
  <mergeCells count="41">
    <mergeCell ref="I5:K5"/>
    <mergeCell ref="K15:K17"/>
    <mergeCell ref="H6:K6"/>
    <mergeCell ref="A13:K13"/>
    <mergeCell ref="B15:B17"/>
    <mergeCell ref="A15:A17"/>
    <mergeCell ref="B36:K36"/>
    <mergeCell ref="B42:K42"/>
    <mergeCell ref="H7:K7"/>
    <mergeCell ref="H8:K8"/>
    <mergeCell ref="H9:K9"/>
    <mergeCell ref="H10:K10"/>
    <mergeCell ref="C15:J15"/>
    <mergeCell ref="A11:K11"/>
    <mergeCell ref="A12:K12"/>
    <mergeCell ref="C16:C17"/>
    <mergeCell ref="B156:K156"/>
    <mergeCell ref="B337:K337"/>
    <mergeCell ref="B358:K358"/>
    <mergeCell ref="B73:K73"/>
    <mergeCell ref="B144:K144"/>
    <mergeCell ref="B331:K331"/>
    <mergeCell ref="B334:K334"/>
    <mergeCell ref="B48:K48"/>
    <mergeCell ref="B66:K66"/>
    <mergeCell ref="B425:K425"/>
    <mergeCell ref="B150:K150"/>
    <mergeCell ref="B182:K182"/>
    <mergeCell ref="B296:K296"/>
    <mergeCell ref="B301:K301"/>
    <mergeCell ref="B306:K306"/>
    <mergeCell ref="B315:K315"/>
    <mergeCell ref="B364:K364"/>
    <mergeCell ref="B419:K419"/>
    <mergeCell ref="B422:K422"/>
    <mergeCell ref="B325:K325"/>
    <mergeCell ref="B167:K167"/>
    <mergeCell ref="B382:K382"/>
    <mergeCell ref="B413:K413"/>
    <mergeCell ref="B374:K374"/>
    <mergeCell ref="B370:K370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6" r:id="rId1"/>
  <rowBreaks count="15" manualBreakCount="15">
    <brk id="47" max="10" man="1"/>
    <brk id="87" max="10" man="1"/>
    <brk id="120" max="10" man="1"/>
    <brk id="155" max="10" man="1"/>
    <brk id="181" max="10" man="1"/>
    <brk id="218" max="10" man="1"/>
    <brk id="248" max="10" man="1"/>
    <brk id="274" max="10" man="1"/>
    <brk id="305" max="10" man="1"/>
    <brk id="336" max="10" man="1"/>
    <brk id="363" max="10" man="1"/>
    <brk id="388" max="10" man="1"/>
    <brk id="408" max="10" man="1"/>
    <brk id="424" max="10" man="1"/>
    <brk id="4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SheetLayoutView="100" zoomScalePageLayoutView="0" workbookViewId="0" topLeftCell="A7">
      <selection activeCell="F31" sqref="F31"/>
    </sheetView>
  </sheetViews>
  <sheetFormatPr defaultColWidth="9.00390625" defaultRowHeight="12.75"/>
  <cols>
    <col min="1" max="1" width="7.00390625" style="128" customWidth="1"/>
    <col min="2" max="2" width="40.00390625" style="131" customWidth="1"/>
    <col min="3" max="3" width="16.25390625" style="0" customWidth="1"/>
    <col min="4" max="4" width="15.25390625" style="0" customWidth="1"/>
    <col min="5" max="5" width="12.75390625" style="0" customWidth="1"/>
    <col min="6" max="7" width="11.125" style="0" customWidth="1"/>
    <col min="8" max="8" width="12.625" style="0" customWidth="1"/>
    <col min="9" max="16" width="11.125" style="0" customWidth="1"/>
  </cols>
  <sheetData>
    <row r="1" spans="1:16" s="1" customFormat="1" ht="15.75">
      <c r="A1" s="98"/>
      <c r="B1" s="2"/>
      <c r="C1" s="107"/>
      <c r="G1" s="82"/>
      <c r="H1" s="82"/>
      <c r="I1" s="82"/>
      <c r="J1" s="256" t="s">
        <v>335</v>
      </c>
      <c r="K1" s="256"/>
      <c r="L1" s="256"/>
      <c r="M1" s="256"/>
      <c r="N1" s="256"/>
      <c r="O1" s="256"/>
      <c r="P1" s="256"/>
    </row>
    <row r="2" spans="1:16" s="1" customFormat="1" ht="15.75">
      <c r="A2" s="98"/>
      <c r="B2" s="81"/>
      <c r="C2" s="108"/>
      <c r="E2" s="82"/>
      <c r="F2" s="82"/>
      <c r="G2" s="82"/>
      <c r="H2" s="82"/>
      <c r="I2" s="82"/>
      <c r="J2" s="256" t="s">
        <v>336</v>
      </c>
      <c r="K2" s="256"/>
      <c r="L2" s="256"/>
      <c r="M2" s="256"/>
      <c r="N2" s="256"/>
      <c r="O2" s="256"/>
      <c r="P2" s="256"/>
    </row>
    <row r="3" spans="1:16" s="1" customFormat="1" ht="15.75">
      <c r="A3" s="98"/>
      <c r="B3" s="81"/>
      <c r="C3" s="108"/>
      <c r="E3" s="68"/>
      <c r="F3" s="68"/>
      <c r="G3" s="68"/>
      <c r="H3" s="68"/>
      <c r="I3" s="68"/>
      <c r="J3" s="256" t="s">
        <v>337</v>
      </c>
      <c r="K3" s="256"/>
      <c r="L3" s="256"/>
      <c r="M3" s="256"/>
      <c r="N3" s="256"/>
      <c r="O3" s="256"/>
      <c r="P3" s="256"/>
    </row>
    <row r="4" spans="1:16" s="1" customFormat="1" ht="15.75">
      <c r="A4" s="98"/>
      <c r="B4" s="81"/>
      <c r="C4" s="108"/>
      <c r="D4" s="161"/>
      <c r="E4" s="68"/>
      <c r="F4" s="68"/>
      <c r="G4" s="68"/>
      <c r="H4" s="68"/>
      <c r="I4" s="68"/>
      <c r="J4" s="256" t="s">
        <v>311</v>
      </c>
      <c r="K4" s="256"/>
      <c r="L4" s="256"/>
      <c r="M4" s="256"/>
      <c r="N4" s="256"/>
      <c r="O4" s="256"/>
      <c r="P4" s="256"/>
    </row>
    <row r="5" spans="1:16" s="1" customFormat="1" ht="15.75">
      <c r="A5" s="98"/>
      <c r="B5" s="81"/>
      <c r="C5" s="108"/>
      <c r="E5" s="68"/>
      <c r="F5" s="68"/>
      <c r="G5" s="68"/>
      <c r="H5" s="68"/>
      <c r="I5" s="127"/>
      <c r="J5" s="256" t="s">
        <v>338</v>
      </c>
      <c r="K5" s="256"/>
      <c r="L5" s="256"/>
      <c r="M5" s="256"/>
      <c r="N5" s="256"/>
      <c r="O5" s="256"/>
      <c r="P5" s="256"/>
    </row>
    <row r="6" spans="1:16" s="1" customFormat="1" ht="15.75">
      <c r="A6" s="98"/>
      <c r="B6" s="81"/>
      <c r="C6" s="108"/>
      <c r="D6" s="161"/>
      <c r="E6" s="68"/>
      <c r="F6" s="68"/>
      <c r="G6" s="68"/>
      <c r="H6" s="127"/>
      <c r="I6" s="127"/>
      <c r="J6" s="256" t="s">
        <v>339</v>
      </c>
      <c r="K6" s="256"/>
      <c r="L6" s="256"/>
      <c r="M6" s="256"/>
      <c r="N6" s="256"/>
      <c r="O6" s="256"/>
      <c r="P6" s="256"/>
    </row>
    <row r="7" spans="2:17" s="1" customFormat="1" ht="15">
      <c r="B7" s="2"/>
      <c r="D7" s="82"/>
      <c r="E7" s="82"/>
      <c r="F7" s="82"/>
      <c r="I7" s="148"/>
      <c r="J7" s="148"/>
      <c r="K7" s="148"/>
      <c r="L7" s="148"/>
      <c r="M7" s="148"/>
      <c r="N7" s="148"/>
      <c r="O7" s="148"/>
      <c r="P7" s="148"/>
      <c r="Q7" s="125"/>
    </row>
    <row r="8" spans="2:16" s="126" customFormat="1" ht="12.75">
      <c r="B8" s="105"/>
      <c r="D8" s="127"/>
      <c r="E8" s="127"/>
      <c r="F8" s="127"/>
      <c r="I8" s="127"/>
      <c r="J8" s="127"/>
      <c r="K8" s="127"/>
      <c r="L8" s="127"/>
      <c r="M8" s="127"/>
      <c r="N8" s="127"/>
      <c r="O8" s="127"/>
      <c r="P8" s="127"/>
    </row>
    <row r="9" spans="1:2" s="1" customFormat="1" ht="15">
      <c r="A9" s="128"/>
      <c r="B9" s="2"/>
    </row>
    <row r="10" spans="1:16" s="1" customFormat="1" ht="15.75">
      <c r="A10" s="260" t="s">
        <v>472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</row>
    <row r="11" spans="1:16" s="1" customFormat="1" ht="15.75">
      <c r="A11" s="260" t="s">
        <v>312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</row>
    <row r="12" spans="1:16" s="1" customFormat="1" ht="15.75">
      <c r="A12" s="260" t="s">
        <v>313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</row>
    <row r="13" spans="1:2" s="1" customFormat="1" ht="15">
      <c r="A13" s="128"/>
      <c r="B13" s="2"/>
    </row>
    <row r="14" spans="1:16" s="3" customFormat="1" ht="35.25" customHeight="1">
      <c r="A14" s="261" t="s">
        <v>488</v>
      </c>
      <c r="B14" s="261" t="s">
        <v>325</v>
      </c>
      <c r="C14" s="267" t="s">
        <v>315</v>
      </c>
      <c r="D14" s="267" t="s">
        <v>317</v>
      </c>
      <c r="E14" s="274" t="s">
        <v>319</v>
      </c>
      <c r="F14" s="274"/>
      <c r="G14" s="277" t="s">
        <v>322</v>
      </c>
      <c r="H14" s="278"/>
      <c r="I14" s="270" t="s">
        <v>62</v>
      </c>
      <c r="J14" s="271"/>
      <c r="K14" s="271"/>
      <c r="L14" s="271"/>
      <c r="M14" s="271"/>
      <c r="N14" s="271"/>
      <c r="O14" s="271"/>
      <c r="P14" s="272"/>
    </row>
    <row r="15" spans="1:16" s="3" customFormat="1" ht="35.25" customHeight="1">
      <c r="A15" s="263"/>
      <c r="B15" s="263"/>
      <c r="C15" s="268"/>
      <c r="D15" s="268"/>
      <c r="E15" s="275" t="s">
        <v>320</v>
      </c>
      <c r="F15" s="275" t="s">
        <v>321</v>
      </c>
      <c r="G15" s="279"/>
      <c r="H15" s="280"/>
      <c r="I15" s="273" t="s">
        <v>490</v>
      </c>
      <c r="J15" s="136" t="s">
        <v>65</v>
      </c>
      <c r="K15" s="136" t="s">
        <v>66</v>
      </c>
      <c r="L15" s="136" t="s">
        <v>67</v>
      </c>
      <c r="M15" s="136" t="s">
        <v>68</v>
      </c>
      <c r="N15" s="136" t="s">
        <v>69</v>
      </c>
      <c r="O15" s="136" t="s">
        <v>70</v>
      </c>
      <c r="P15" s="136" t="s">
        <v>71</v>
      </c>
    </row>
    <row r="16" spans="1:16" s="3" customFormat="1" ht="30.75" customHeight="1">
      <c r="A16" s="262"/>
      <c r="B16" s="262"/>
      <c r="C16" s="269"/>
      <c r="D16" s="269"/>
      <c r="E16" s="276"/>
      <c r="F16" s="276"/>
      <c r="G16" s="135" t="s">
        <v>323</v>
      </c>
      <c r="H16" s="129" t="s">
        <v>324</v>
      </c>
      <c r="I16" s="273"/>
      <c r="J16" s="4">
        <v>2014</v>
      </c>
      <c r="K16" s="4">
        <v>2015</v>
      </c>
      <c r="L16" s="4">
        <v>2016</v>
      </c>
      <c r="M16" s="4">
        <v>2017</v>
      </c>
      <c r="N16" s="4">
        <v>2018</v>
      </c>
      <c r="O16" s="4">
        <v>2019</v>
      </c>
      <c r="P16" s="4">
        <v>2020</v>
      </c>
    </row>
    <row r="17" spans="1:16" s="126" customFormat="1" ht="15" customHeight="1">
      <c r="A17" s="130">
        <v>1</v>
      </c>
      <c r="B17" s="130">
        <v>2</v>
      </c>
      <c r="C17" s="129">
        <v>3</v>
      </c>
      <c r="D17" s="129">
        <v>4</v>
      </c>
      <c r="E17" s="129">
        <v>5</v>
      </c>
      <c r="F17" s="129">
        <v>6</v>
      </c>
      <c r="G17" s="129">
        <v>7</v>
      </c>
      <c r="H17" s="129">
        <v>8</v>
      </c>
      <c r="I17" s="129">
        <v>9</v>
      </c>
      <c r="J17" s="129">
        <v>10</v>
      </c>
      <c r="K17" s="129">
        <v>11</v>
      </c>
      <c r="L17" s="129">
        <v>12</v>
      </c>
      <c r="M17" s="129">
        <v>13</v>
      </c>
      <c r="N17" s="129">
        <v>14</v>
      </c>
      <c r="O17" s="129">
        <v>15</v>
      </c>
      <c r="P17" s="129">
        <v>16</v>
      </c>
    </row>
    <row r="18" spans="1:16" s="23" customFormat="1" ht="48.75" customHeight="1">
      <c r="A18" s="137">
        <v>1</v>
      </c>
      <c r="B18" s="138" t="s">
        <v>329</v>
      </c>
      <c r="C18" s="139" t="s">
        <v>328</v>
      </c>
      <c r="D18" s="139" t="s">
        <v>318</v>
      </c>
      <c r="E18" s="141">
        <v>54000</v>
      </c>
      <c r="F18" s="141">
        <v>54000</v>
      </c>
      <c r="G18" s="145" t="s">
        <v>326</v>
      </c>
      <c r="H18" s="145" t="s">
        <v>327</v>
      </c>
      <c r="I18" s="141"/>
      <c r="J18" s="141"/>
      <c r="K18" s="141"/>
      <c r="L18" s="141"/>
      <c r="M18" s="141"/>
      <c r="N18" s="141"/>
      <c r="O18" s="141"/>
      <c r="P18" s="141"/>
    </row>
    <row r="19" spans="1:16" s="25" customFormat="1" ht="28.5" customHeight="1">
      <c r="A19" s="132">
        <v>2</v>
      </c>
      <c r="B19" s="133" t="s">
        <v>314</v>
      </c>
      <c r="C19" s="16"/>
      <c r="D19" s="16"/>
      <c r="E19" s="142"/>
      <c r="F19" s="141"/>
      <c r="G19" s="146"/>
      <c r="H19" s="147"/>
      <c r="I19" s="140">
        <f>SUM(I20:I22)</f>
        <v>49099.1</v>
      </c>
      <c r="J19" s="140">
        <f aca="true" t="shared" si="0" ref="J19:P19">SUM(J20:J22)</f>
        <v>49099.1</v>
      </c>
      <c r="K19" s="140">
        <f t="shared" si="0"/>
        <v>0</v>
      </c>
      <c r="L19" s="140">
        <f t="shared" si="0"/>
        <v>0</v>
      </c>
      <c r="M19" s="140">
        <f t="shared" si="0"/>
        <v>0</v>
      </c>
      <c r="N19" s="140">
        <f t="shared" si="0"/>
        <v>0</v>
      </c>
      <c r="O19" s="140">
        <f t="shared" si="0"/>
        <v>0</v>
      </c>
      <c r="P19" s="140">
        <f t="shared" si="0"/>
        <v>0</v>
      </c>
    </row>
    <row r="20" spans="1:16" s="126" customFormat="1" ht="15.75">
      <c r="A20" s="134">
        <v>3</v>
      </c>
      <c r="B20" s="11" t="s">
        <v>492</v>
      </c>
      <c r="C20" s="16"/>
      <c r="D20" s="16"/>
      <c r="E20" s="142"/>
      <c r="F20" s="141"/>
      <c r="G20" s="146"/>
      <c r="H20" s="147"/>
      <c r="I20" s="141">
        <f>SUM(J20:P20)</f>
        <v>1737.8</v>
      </c>
      <c r="J20" s="144">
        <v>1737.8</v>
      </c>
      <c r="K20" s="141"/>
      <c r="L20" s="141"/>
      <c r="M20" s="144"/>
      <c r="N20" s="144"/>
      <c r="O20" s="144"/>
      <c r="P20" s="144"/>
    </row>
    <row r="21" spans="1:16" s="126" customFormat="1" ht="15.75">
      <c r="A21" s="134">
        <v>4</v>
      </c>
      <c r="B21" s="11" t="s">
        <v>330</v>
      </c>
      <c r="C21" s="16"/>
      <c r="D21" s="16"/>
      <c r="E21" s="142"/>
      <c r="F21" s="141"/>
      <c r="G21" s="146"/>
      <c r="H21" s="147"/>
      <c r="I21" s="141">
        <f>SUM(J21:P21)</f>
        <v>12802.1</v>
      </c>
      <c r="J21" s="144">
        <v>12802.1</v>
      </c>
      <c r="K21" s="141"/>
      <c r="L21" s="141"/>
      <c r="M21" s="144"/>
      <c r="N21" s="144"/>
      <c r="O21" s="144"/>
      <c r="P21" s="144"/>
    </row>
    <row r="22" spans="1:16" s="126" customFormat="1" ht="15.75">
      <c r="A22" s="134">
        <v>5</v>
      </c>
      <c r="B22" s="11" t="s">
        <v>494</v>
      </c>
      <c r="C22" s="16"/>
      <c r="D22" s="16"/>
      <c r="E22" s="142"/>
      <c r="F22" s="141"/>
      <c r="G22" s="146"/>
      <c r="H22" s="147"/>
      <c r="I22" s="141">
        <f>SUM(J22:P22)</f>
        <v>34559.2</v>
      </c>
      <c r="J22" s="144">
        <v>34559.2</v>
      </c>
      <c r="K22" s="141"/>
      <c r="L22" s="141"/>
      <c r="M22" s="144"/>
      <c r="N22" s="144"/>
      <c r="O22" s="144"/>
      <c r="P22" s="144"/>
    </row>
    <row r="23" spans="1:16" s="126" customFormat="1" ht="15.75">
      <c r="A23" s="134"/>
      <c r="B23" s="11"/>
      <c r="C23" s="16"/>
      <c r="D23" s="16"/>
      <c r="E23" s="142"/>
      <c r="F23" s="141"/>
      <c r="G23" s="146"/>
      <c r="H23" s="147"/>
      <c r="I23" s="141"/>
      <c r="J23" s="144"/>
      <c r="K23" s="141"/>
      <c r="L23" s="141"/>
      <c r="M23" s="144"/>
      <c r="N23" s="144"/>
      <c r="O23" s="144"/>
      <c r="P23" s="144"/>
    </row>
    <row r="24" spans="1:16" s="23" customFormat="1" ht="30">
      <c r="A24" s="137">
        <v>6</v>
      </c>
      <c r="B24" s="138" t="s">
        <v>468</v>
      </c>
      <c r="C24" s="139" t="s">
        <v>451</v>
      </c>
      <c r="D24" s="139" t="s">
        <v>318</v>
      </c>
      <c r="E24" s="141"/>
      <c r="F24" s="141"/>
      <c r="G24" s="145" t="s">
        <v>470</v>
      </c>
      <c r="H24" s="145" t="s">
        <v>469</v>
      </c>
      <c r="I24" s="141"/>
      <c r="J24" s="141"/>
      <c r="K24" s="141"/>
      <c r="L24" s="141"/>
      <c r="M24" s="141"/>
      <c r="N24" s="141"/>
      <c r="O24" s="141"/>
      <c r="P24" s="141"/>
    </row>
    <row r="25" spans="1:16" s="25" customFormat="1" ht="28.5" customHeight="1">
      <c r="A25" s="132">
        <v>7</v>
      </c>
      <c r="B25" s="133" t="s">
        <v>331</v>
      </c>
      <c r="C25" s="16"/>
      <c r="D25" s="16"/>
      <c r="E25" s="142"/>
      <c r="F25" s="141"/>
      <c r="G25" s="141"/>
      <c r="H25" s="143"/>
      <c r="I25" s="238">
        <f aca="true" t="shared" si="1" ref="I25:P25">SUM(I26:I26)</f>
        <v>8000</v>
      </c>
      <c r="J25" s="140">
        <f t="shared" si="1"/>
        <v>0</v>
      </c>
      <c r="K25" s="140">
        <f t="shared" si="1"/>
        <v>0</v>
      </c>
      <c r="L25" s="140">
        <f t="shared" si="1"/>
        <v>0</v>
      </c>
      <c r="M25" s="182">
        <f t="shared" si="1"/>
        <v>8000</v>
      </c>
      <c r="N25" s="140">
        <f t="shared" si="1"/>
        <v>0</v>
      </c>
      <c r="O25" s="140">
        <f t="shared" si="1"/>
        <v>0</v>
      </c>
      <c r="P25" s="140">
        <f t="shared" si="1"/>
        <v>0</v>
      </c>
    </row>
    <row r="26" spans="1:16" s="126" customFormat="1" ht="15.75">
      <c r="A26" s="134">
        <v>8</v>
      </c>
      <c r="B26" s="11" t="s">
        <v>492</v>
      </c>
      <c r="C26" s="16"/>
      <c r="D26" s="16"/>
      <c r="E26" s="142"/>
      <c r="F26" s="141"/>
      <c r="G26" s="141"/>
      <c r="H26" s="143"/>
      <c r="I26" s="239">
        <f>SUM(J26:P26)</f>
        <v>8000</v>
      </c>
      <c r="J26" s="144"/>
      <c r="K26" s="141"/>
      <c r="L26" s="141"/>
      <c r="M26" s="223">
        <v>8000</v>
      </c>
      <c r="N26" s="144"/>
      <c r="O26" s="144"/>
      <c r="P26" s="144"/>
    </row>
    <row r="30" ht="12.75">
      <c r="B30" s="131" t="s">
        <v>316</v>
      </c>
    </row>
  </sheetData>
  <sheetProtection/>
  <mergeCells count="19">
    <mergeCell ref="A14:A16"/>
    <mergeCell ref="B14:B16"/>
    <mergeCell ref="C14:C16"/>
    <mergeCell ref="G14:H15"/>
    <mergeCell ref="I14:P14"/>
    <mergeCell ref="I15:I16"/>
    <mergeCell ref="E14:F14"/>
    <mergeCell ref="E15:E16"/>
    <mergeCell ref="F15:F16"/>
    <mergeCell ref="A10:P10"/>
    <mergeCell ref="A11:P11"/>
    <mergeCell ref="D14:D16"/>
    <mergeCell ref="J1:P1"/>
    <mergeCell ref="J2:P2"/>
    <mergeCell ref="J3:P3"/>
    <mergeCell ref="J4:P4"/>
    <mergeCell ref="J5:P5"/>
    <mergeCell ref="J6:P6"/>
    <mergeCell ref="A12:P12"/>
  </mergeCells>
  <printOptions/>
  <pageMargins left="0.5905511811023623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2016-11-09T13:14:28Z</cp:lastPrinted>
  <dcterms:created xsi:type="dcterms:W3CDTF">2013-10-08T11:20:39Z</dcterms:created>
  <dcterms:modified xsi:type="dcterms:W3CDTF">2016-11-10T05:50:25Z</dcterms:modified>
  <cp:category/>
  <cp:version/>
  <cp:contentType/>
  <cp:contentStatus/>
</cp:coreProperties>
</file>