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Лист1" sheetId="1" r:id="rId1"/>
    <sheet name="Лист2" sheetId="2" r:id="rId2"/>
    <sheet name="Лист3" sheetId="3" r:id="rId3"/>
  </sheets>
  <definedNames>
    <definedName name="_GoBack" localSheetId="0">'Лист1'!$A$327</definedName>
    <definedName name="_xlnm.Print_Area" localSheetId="0">'Лист1'!$A$1:$AV$328</definedName>
  </definedNames>
  <calcPr fullCalcOnLoad="1"/>
</workbook>
</file>

<file path=xl/sharedStrings.xml><?xml version="1.0" encoding="utf-8"?>
<sst xmlns="http://schemas.openxmlformats.org/spreadsheetml/2006/main" count="878" uniqueCount="300">
  <si>
    <t>Единица измерения: тыс. руб. (с точностью до одного десятичного знака)</t>
  </si>
  <si>
    <t>Наименование расходного обязательства, вопроса местного значения, полномочия, права муниципального образования</t>
  </si>
  <si>
    <t>Код стро-ки</t>
  </si>
  <si>
    <t>Правовое основание финансового обеспечения и расходования средств (нормативные правовые акты, договоры, соглашения)</t>
  </si>
  <si>
    <t>Объем средств на исполнение расходного обязательства (тыс. рублей)</t>
  </si>
  <si>
    <t>Российской Федерации</t>
  </si>
  <si>
    <t>по плану</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</si>
  <si>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</si>
  <si>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</si>
  <si>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в том числе:</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</si>
  <si>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</si>
  <si>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</si>
  <si>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</si>
  <si>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Итого расходных обязательств муниципальных образований</t>
  </si>
  <si>
    <t xml:space="preserve">Руководитель ________________________________________                   _____________                     _______________________              </t>
  </si>
  <si>
    <t xml:space="preserve">                        (должность руководителя финансового органа)                        (подпись)                           (расшифровка подписи)</t>
  </si>
  <si>
    <t>Исполнитель _____________________________________          _____________            _______________________       _________________</t>
  </si>
  <si>
    <t xml:space="preserve">                                         (должность)                                                   (подпись)                   (расшифровка подписи)            (телефон, e-mail) </t>
  </si>
  <si>
    <t>владение, пользование и распоряжение имуществом, находящимся в муниципальной собственности городского округа</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</si>
  <si>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</si>
  <si>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</si>
  <si>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функционирование органов местного самоуправления</t>
  </si>
  <si>
    <t>0501</t>
  </si>
  <si>
    <t>0702</t>
  </si>
  <si>
    <t>0707</t>
  </si>
  <si>
    <t>0709</t>
  </si>
  <si>
    <t>1001</t>
  </si>
  <si>
    <t>0104</t>
  </si>
  <si>
    <t>по составлению списков кандидатов в присяжные заседатели</t>
  </si>
  <si>
    <t>0105</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</si>
  <si>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</si>
  <si>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0107</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</si>
  <si>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</si>
  <si>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0111</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</si>
  <si>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</si>
  <si>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0113</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</si>
  <si>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</si>
  <si>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</si>
  <si>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на формирование и содержание архивных фондов субъекта Российской Федерации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</si>
  <si>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</si>
  <si>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</si>
  <si>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0309</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</si>
  <si>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</si>
  <si>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обеспечение первичных мер пожарной безопасности в границах городского округа</t>
  </si>
  <si>
    <t>0310</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</si>
  <si>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</si>
  <si>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0314</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</si>
  <si>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</si>
  <si>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осуществление мероприятий по отлову и содержанию безнадзорных животных, обитающих на территории городского округа</t>
  </si>
  <si>
    <t>0405</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</si>
  <si>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</si>
  <si>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</si>
  <si>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0408</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</si>
  <si>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</si>
  <si>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0409</t>
  </si>
  <si>
    <t>0410</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</si>
  <si>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</si>
  <si>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0412</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</si>
  <si>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</si>
  <si>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</si>
  <si>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</si>
  <si>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0502</t>
  </si>
  <si>
    <t>0503</t>
  </si>
  <si>
    <t>организация ритуальных услуг и содержание мест захоронения</t>
  </si>
  <si>
    <t>организация мероприятий по охране окружающей среды в границах городского округа</t>
  </si>
  <si>
    <t>0505</t>
  </si>
  <si>
    <t>0605</t>
  </si>
  <si>
    <t>организация и осуществление мероприятий по работе с детьми и молодежью в городском округе</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</si>
  <si>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</si>
  <si>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0801</t>
  </si>
  <si>
    <t>создание условий для организации досуга и обеспечения жителей городского округа услугами организаций культуры</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</si>
  <si>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</si>
  <si>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0804</t>
  </si>
  <si>
    <t>1003</t>
  </si>
  <si>
    <t>1006</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</si>
  <si>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</si>
  <si>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1101</t>
  </si>
  <si>
    <t>1201</t>
  </si>
  <si>
    <t>1301</t>
  </si>
  <si>
    <t>подготовка и проведение Всероссийской сельскохозяйственной переписи</t>
  </si>
  <si>
    <t>осуществление муниципального лесного контроля</t>
  </si>
  <si>
    <t>0407</t>
  </si>
  <si>
    <t>0703</t>
  </si>
  <si>
    <t>1102</t>
  </si>
  <si>
    <t>1204</t>
  </si>
  <si>
    <t>организация летнего трудоустройства несовершеннолетних граждан</t>
  </si>
  <si>
    <t>дополнительные меры социальной поддержки и социальной помощи для отдельных категорий граждан, мероприятия в области социальной политики</t>
  </si>
  <si>
    <t>предоставление отдельным категориям граждан компенсаций расходов на оплату жилого помещения и коммунальных услуг</t>
  </si>
  <si>
    <t>предоставление мер социальной поддержки по оплате жилого помещения и коммунальных услуг</t>
  </si>
  <si>
    <t>предоставление гражданам, проживающим на территории Свердловской области, меры социальной поддержки по частичному освобождению от платы за коммунальные услуги</t>
  </si>
  <si>
    <t>0106</t>
  </si>
  <si>
    <t>0102</t>
  </si>
  <si>
    <t>0103</t>
  </si>
  <si>
    <t>0701</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</si>
  <si>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</si>
  <si>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Федеральный Закон</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</si>
  <si>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</si>
  <si>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</si>
  <si>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создание муниципальных предприятий</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</si>
  <si>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</si>
  <si>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на компенсацию отдельным категориям граждан оплаты взносов на капитальный ремонт общего имущества в многоквартирном доме</t>
  </si>
  <si>
    <t>Свердловской области</t>
  </si>
  <si>
    <t>Североуральского городского округа</t>
  </si>
  <si>
    <t>вид, дата, номер, наименование</t>
  </si>
  <si>
    <t>статья, пункт, подпункт</t>
  </si>
  <si>
    <t>дата вступления в силу</t>
  </si>
  <si>
    <t>всего</t>
  </si>
  <si>
    <t>в т.ч. кап.вложения</t>
  </si>
  <si>
    <t>в т.ч. ФОТ</t>
  </si>
  <si>
    <t>отчетный год   2017</t>
  </si>
  <si>
    <t>по факту исполнения</t>
  </si>
  <si>
    <t>текущий 2018 год</t>
  </si>
  <si>
    <t>Очередной 2019 год</t>
  </si>
  <si>
    <t xml:space="preserve">плановый период </t>
  </si>
  <si>
    <t>2020 год</t>
  </si>
  <si>
    <t>2021 год</t>
  </si>
  <si>
    <t>расходы на обслуживание муниципального долга</t>
  </si>
  <si>
    <t>организация в соответствии с Федеральным законом от 24 июля 2007 г.  № 221-ФЗ «О  кадастровой деятельности» выполнения комплексных кадастровых работ и утверждение карты-плана территории</t>
  </si>
  <si>
    <t>Формирование и содержание муниципального архива</t>
  </si>
  <si>
    <t>Постановление Администрации Североуральского городского округа 16.09.2011, № 1272 Об утверждении порядка использования бюджетных ассигнований резервного фонда Администрации Североуральского городского округа</t>
  </si>
  <si>
    <t>п.1</t>
  </si>
  <si>
    <t>16.09.2011, не установлен</t>
  </si>
  <si>
    <t>22.12.2015, не установлен</t>
  </si>
  <si>
    <t>Решение Думы Североуральского городского округа от от 17.08.2016 № 63 "Положение о контрольно-счетной палате Североуральского городского округа"</t>
  </si>
  <si>
    <t>ст.8 п.8.1</t>
  </si>
  <si>
    <t>Постановление Админи-страции Севе-роуральского город-ского округа от 01.11.2013 г. № 1544 "Об ут-вержде-нии му-ницип-альной программы Се-вероуральского горо-дского окру-га" округа  "Управление  муниципальными финансами в  Североуральском городском округе" на 2014-2020 годы»</t>
  </si>
  <si>
    <t>01.01.2014-31.12.2020</t>
  </si>
  <si>
    <t xml:space="preserve"> Постановление Администрации СГО от 29.10.2014 № 1586 «Об утверждении муниципальной программы Североуральского городского округа  «Управление муниципальной собственностью  Североуральского городского округа" на 2015 -2020 годы»</t>
  </si>
  <si>
    <t>Постановление Администрации Североуральского городского округа 07.11.2013 1581  "Об утверждении муниципальной программы Североуральского городского округа «Развитие жилищно-коммунального хозяйства и транспортного обслуживания населения, повышение энергетической эффективности и охрана окружающей среды в Североуральском городском округе» на 2014-2020 годы</t>
  </si>
  <si>
    <t>01.01.2015-31.12.2020</t>
  </si>
  <si>
    <t>Постановление Администрации Североуральского городского округа 07.11.2013 1579  «Об утверждении муниципальной программы Североуральского городского округа "Развитие дорожного хозяйства и обеспечение безопасности дорожного движения в Североуральском городском округе" на 2014-2020 годы"</t>
  </si>
  <si>
    <t>Постановление Администрации Североуральского городского округа 07.11.2013.1581."Об утверждении муниципальной программы Североуральского городского округа «Развитие жилищно-коммунального хозяйства и транспортного обслуживания населения, повышение энергетической эффективности и охрана окружающей среды в Североуральском городском округе» на 2014-2020 годы</t>
  </si>
  <si>
    <t>Постановление Администрации Североуральского городского округа 30.10.2013.1535 "Об утверждении муниципальной программы Североуральского городского округа "Безопасность жизнедеятельности населения Североуральского городского округа"</t>
  </si>
  <si>
    <t>Постановление Администрации Североуральского городского округа 07.11.2013 1583 "Об утверждении муниципальной программы Североуральского городского округа "Развитие системы гражданской обороны, защита населения и территории Североуральского городского округа от чрезвычайных ситуаций природного и техногенного характера, обеспечение пожарной безопасности людей на водных объектах" на 2014-2020 годы"</t>
  </si>
  <si>
    <t>Постановление Администрации Североуральского городского округа 07.11.2013 1582 "Об утверждении муниципальной программы Североуральского городского округа "Развитие культуры и искусства в Североуральском городском округе" на 2014-2020 годы"</t>
  </si>
  <si>
    <t xml:space="preserve">Постановление Администрации Североуральского городского округа 07.11.2013 1582 "Об утверждении муниципальной программы Североуральского городского округа "Развитие культуры и искусства в Североуральском городском округе" на 2014-2020 </t>
  </si>
  <si>
    <t>Постановление Администрации Североуральского городского округа 01.11.2013 1546  "Об утверждении муниципальной программы Североуральского городского округа "Развитие физической культуры, спорта и молодежной политики в Североуральском городском округе" на 2014-2020 годы"</t>
  </si>
  <si>
    <t>Постановление Администрации Североуральского городского округа 30.10.2013. 1536 "Об утверждении муниципальной программы Североуральского городского округа «Совершенствование социально-экономической политики в Североуральском городском округе» на 2014-2020 годы</t>
  </si>
  <si>
    <t>Постановление Администрации Североуральского городского округа 29.10.2014.1585 «Об утверждении муниципальной программы Североуральского городского округа "Развитие земельных отношений и градостроительная деятельность в евероуральском городском округе на 2015-2020гг."</t>
  </si>
  <si>
    <t>Постановление Администрации СГО от 07.11.2013 № 1583 «Об утверждении муниципальной программы Североуральского городского округа  "Развитие системы гражданской обороны, защита населения и территории Североуральского городского округа от чрезвычайных ситуаций природного и техногенного характера, обеспечение пожарной безопасности и безопасности людей на водных объектах" на 2014-2020 годы»</t>
  </si>
  <si>
    <t>Постановление Администрации Североуральского городского округа 30.10.2013.1534."Об утверждении муниципальной программы Североуральского городского округа "Социальная поддержка населения Североуральского городского округа" на 2014-2020 годы"</t>
  </si>
  <si>
    <t>Постановление Администрации Североуральского городского округа 01.11.2013. 1546 "Об утверждении муниципальной программы Североуральского городского округа "Развитие физической культуры, спорта и молодежной политики в Североуральском городском округе" на 2014-2020 годы"</t>
  </si>
  <si>
    <t>Постановление Администрации Североуральского городского округа 30.10.2013 1535  "Об утверждении муниципальной программы Североуральского городского округа "Безопасность жизнедеятельности населения Североуральского городского округа"</t>
  </si>
  <si>
    <t>Постановление Администрации Североуральского городского округа 07.11.2013.1581  "Об утверждении муниципальной программы Североуральского городского округа «Развитие жилищно-коммунального хозяйства и транспортного обслуживания населения, повышение энергетической эффективности и охрана окружающей среды в Североуральском городском округе» на 2014-2020 годы"</t>
  </si>
  <si>
    <t>Постановление Администрации Североуральского городского округа 29.10.2014 №1585  "Об утверждении муниципальной программы Североуральского городского округа " Развитие земельных отношений и градостроительная деятельность в Североуральском городском округе" на 2015-2020 годы"</t>
  </si>
  <si>
    <t>Решение Думы30.10.2013 34 "О размерах должностных окладов и условиях оплаты труда выборных должностных лиц местного самоуправления, депутатов, осуществляющих свои полномочия на постоянной основе, муниципальных служащих, работников органов местного самоуправления Североуральского городского округа"</t>
  </si>
  <si>
    <t>гл. 2</t>
  </si>
  <si>
    <t>01.01.2018, не установлен</t>
  </si>
  <si>
    <t>Постановление Администрации Североуральского городского округа 30.10.2013 1536 "Об утверждении муниципальной программы Североуральского городского округа "Совершенствование социально-экономической политики в Североуральском родском окргуе на 2014-2020годы"</t>
  </si>
  <si>
    <t>Постановление Администрации Североуральского городского округа 03.12.2014 1874 "Об утверждении плана мероприятий повышения правовой культуры избирателей и организаторов выборов Североуральского городского округа на 2015 год, финансируемых из средств муниципального бюджета"</t>
  </si>
  <si>
    <t>Постановление Администрации Североуральского городского округа 07.11.2013.1581 "Об утверждении муниципальной программы Североуральского городского округа «Развитие жилищно-коммунального хозяйства и транспортного обслуживания населения, повышение энергетической эффективности и охрана окружающей среды в Североуральском городском округе» на 2014-2020 годы"</t>
  </si>
  <si>
    <t>Постановление Администрации Североуральского городского округа 30.10.2013.1534 "Об утверждении муниципальной программы Североуральского городского округа "Социальная поддержка населения Североуральского городского округа" на 2014-2020 годы"</t>
  </si>
  <si>
    <t>Постановление Администрации Североуральского городского округа 07.11.2013 1581 "Об утверждении муниципальной программы Североуральского городского округа «Развитие жилищно-коммунального хозяйства и транспортного обслуживания населения, повышение энергетической эффективности и охрана окружающей среды в Североуральском городском округе» на 2014-2020 годы</t>
  </si>
  <si>
    <t>ст.7 п.1</t>
  </si>
  <si>
    <t>Постановление Администрации Североуральского городского округа от 30.10.2014 №1537 "Об утверждении муниципальной целевой программы "Развитие образования Североуральского городского округа на 2014-2020 годы"</t>
  </si>
  <si>
    <t>01.012014-31.12.2020</t>
  </si>
  <si>
    <t xml:space="preserve">Решение ДСГО № 32 от 22.11.17 "Об утверждении Положения о Думе Североуральского городского округа" </t>
  </si>
  <si>
    <t>Постановление Администрации СГО от 26.01.2018г. № 92 "Об утверждении плана реализации комплекса официальных мероприятий Североуральского городского округа на 2018 год"</t>
  </si>
  <si>
    <t>п.1 ч.1 ст.16</t>
  </si>
  <si>
    <t>08.10.2003, не установлен</t>
  </si>
  <si>
    <t>п.3 ч.1 ст.16</t>
  </si>
  <si>
    <t>п.4 ч.1 ст.16</t>
  </si>
  <si>
    <t>Постановление Правительства Свердловской области от 22.12.2008 № 1354-ПП "О Концепции реформирования жилищно-коммунального комплекса Свердловской области на 2009 - 2020 годы"</t>
  </si>
  <si>
    <t>гл.1 р.3</t>
  </si>
  <si>
    <t>25.03.2005-31.12.2020</t>
  </si>
  <si>
    <t>Федеральный закон 131-ФЗ от 06.10.2003 "Об общих принципах организации местного самоуправления в Российской Федерации"</t>
  </si>
  <si>
    <t>п.5 ч.1 ст.16</t>
  </si>
  <si>
    <t>п.6 ч.1 ст.16</t>
  </si>
  <si>
    <t>ст.1</t>
  </si>
  <si>
    <t>Закон Свердловской области от 22.07.2005 № 96-ОЗ"О признании граждан малоимущими в целях предоставления им по договорам социального наима жилых помещений муниципального жилищного фонда на территории Свердловской области"</t>
  </si>
  <si>
    <t>07.08.2005, не установлен</t>
  </si>
  <si>
    <t>п.7 ч.1 ст.16</t>
  </si>
  <si>
    <t>п.7.1. ч.1 ст.16</t>
  </si>
  <si>
    <t>Соглашение от 12.01.1996 № 14 "О разграничении полномочий по обеспечению законности, охраны общественного порядка и борьбы с преступностью"</t>
  </si>
  <si>
    <t>ст.2</t>
  </si>
  <si>
    <t>12.01.1996, не установлен</t>
  </si>
  <si>
    <t>п.10 ч.1 ст.16</t>
  </si>
  <si>
    <t>Постановление Правительства Свердловской области от 11.09.2007 № 895-ПП "Об обеспечении муниципальными образованиями в Свердловской области первичных мер пожарной безопасности"</t>
  </si>
  <si>
    <t>подп.1 п.3</t>
  </si>
  <si>
    <t>22.09.2007, не установлен</t>
  </si>
  <si>
    <t>п.11 ч.1 ст.16</t>
  </si>
  <si>
    <t>Закон Свердловской области от 20.03.2006 № 12-ОЗ "Об охране окружающей среды на территории Свердловской области"</t>
  </si>
  <si>
    <t>ст.7</t>
  </si>
  <si>
    <t>02.04.2006, не установлен</t>
  </si>
  <si>
    <t>п.13 ч.1 ст.16</t>
  </si>
  <si>
    <t>Закон Свердловской области от 15.07.2013 №78-ОЗ "Об образовании в Свердловской области"</t>
  </si>
  <si>
    <t>01.09.2013, не установлен</t>
  </si>
  <si>
    <t>п.16 ч.1 ст.16</t>
  </si>
  <si>
    <t>Закон Свердловской области от 21.04.1997 № 25-ОЗ "О библиотеках и библиотечных фондах в Свердловской области"</t>
  </si>
  <si>
    <t>ст.4</t>
  </si>
  <si>
    <t>29.04.1997, не установлен</t>
  </si>
  <si>
    <t>п.17 ч.1 ст.16</t>
  </si>
  <si>
    <t>Областной закон от 22.07.1997 № 43-ОЗ "О культурной деятельности на территории Свердловской области"</t>
  </si>
  <si>
    <t>31.07.1997, не установлен</t>
  </si>
  <si>
    <t>п.18 ч.1 ст.16</t>
  </si>
  <si>
    <t>Закон Свердловской области от 21.06.2004 № 12-ОЗ "О государственной охране объектов культурного наследия в Свердловской области (памятников истории и культуры) в Свердловской области"</t>
  </si>
  <si>
    <t>п.1 ст.5</t>
  </si>
  <si>
    <t>07.07.2004, не установлен</t>
  </si>
  <si>
    <t>п.19 ч.1 ст.16</t>
  </si>
  <si>
    <t>Закон Свердловской области от 16.07.2012 № 70-ОЗ "О физической культуре и спорте в Свердловской области"</t>
  </si>
  <si>
    <t>п.22 ч.1 ст.16</t>
  </si>
  <si>
    <t>Закон Свердловской области от 25.03.2005 № 5-ОЗ "Об архивном деле в Свердловской области"</t>
  </si>
  <si>
    <t>ст.24</t>
  </si>
  <si>
    <t>10.04.2005, не установлен</t>
  </si>
  <si>
    <t>п.23 ч.1 ст.16</t>
  </si>
  <si>
    <t>п.25 ч.1 ст.16</t>
  </si>
  <si>
    <t>п.26 ч.1 ст.16</t>
  </si>
  <si>
    <t>Закон Свердловской области от 19.10.2007 № 100-ОЗ "О документах территориального планирования муниципальных образований, расположенных на территории Свердловской области"</t>
  </si>
  <si>
    <t>ст.3</t>
  </si>
  <si>
    <t>03.11.2007, не установлен</t>
  </si>
  <si>
    <t>п.28 ч.1. ст.16</t>
  </si>
  <si>
    <t>Закон Свердловской области от 27.12.2004 № 221-ОЗ "О защите населения и территории от чрезвычайных ситуаций природного и техногенного характера в Свердловской области"</t>
  </si>
  <si>
    <t>п.1 ст.11</t>
  </si>
  <si>
    <t>01.01.2005, не установлен</t>
  </si>
  <si>
    <t>п.29 ч.1 ст.16</t>
  </si>
  <si>
    <t>п.33 ч.1 ст.16</t>
  </si>
  <si>
    <t>Закон Свердловской области от 04.02.2008 № 10-ОЗ "О развитии малого и среднего предпринимательства в Свердловской области"</t>
  </si>
  <si>
    <t>ст.5</t>
  </si>
  <si>
    <t>16.02.2008, не установлен</t>
  </si>
  <si>
    <t>п.34 ч.1 ст.16</t>
  </si>
  <si>
    <t>Постановление Првительствав Свердловской области от 20.04.2011 № 440-ПП "О концепции государственной молодежной политики Свердловской области на период до 2020 года"</t>
  </si>
  <si>
    <t>р.6</t>
  </si>
  <si>
    <t>08.05.2011-31.12.2020</t>
  </si>
  <si>
    <t>п.37 ч.1 ст.16</t>
  </si>
  <si>
    <t>п.38 ч.1 ст.16</t>
  </si>
  <si>
    <t>п.43 ч.1 ст.16</t>
  </si>
  <si>
    <t>ст.36, 37</t>
  </si>
  <si>
    <t>п.4 ст.51</t>
  </si>
  <si>
    <t>п.3 ч.1 ст.17</t>
  </si>
  <si>
    <t>п.5 ч.1 ст.17</t>
  </si>
  <si>
    <t>Закон Свердловской области от 29.04.2003 № 10-ОЗ "Избирательный кодекс Свердловской области"</t>
  </si>
  <si>
    <t>ст.71, 72</t>
  </si>
  <si>
    <t>11.05.2003, не установлен</t>
  </si>
  <si>
    <t>п.7 ч.1 ст.17</t>
  </si>
  <si>
    <t>п.8.1 ч.1 ст.17</t>
  </si>
  <si>
    <t>Закон Свердловской области от 25.12.2009 № 117-ОЗ "Об энергосбережении и повышении энергетической эффективности на территории Свердловской области"</t>
  </si>
  <si>
    <t>10.01.2010, не установлен</t>
  </si>
  <si>
    <t>п.15 ч.1 ст.16.1</t>
  </si>
  <si>
    <t>Федеральный закон от 19.04.1991 № 1032-1 "О занятости населения в Российской Федерации"</t>
  </si>
  <si>
    <t>ст.7.2</t>
  </si>
  <si>
    <t>02.05.1991, не установлен</t>
  </si>
  <si>
    <t>ч.5 ст.20</t>
  </si>
  <si>
    <t>Федеральный Закон от 20.08.2004 № 113-ФЗ "О присяжных заседателях федеральных судов общей юрисдикции в Российской Федерации"</t>
  </si>
  <si>
    <t>ч.14 ст.5</t>
  </si>
  <si>
    <t>05.09.2004, не утановлен</t>
  </si>
  <si>
    <t>Закон Свердловской области от 06.04.2007 № 24-ОЗ "О Методиках распределения субвенций, местным бюджетам из областного бюджета, предоставляемых за счет субвенций областному бюджету из федерального бюджета, для финансирования расходов на осуществление государственных полномочий по составлению или ежегодному изменению и дополнению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t>
  </si>
  <si>
    <t>12.04.2007, не установлен</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</si>
  <si>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</si>
  <si>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подп.3 п.2 ст.26.3</t>
  </si>
  <si>
    <t>18.10.1999, не установлен</t>
  </si>
  <si>
    <t>Закон Свердловской области от 19.11.2008 № 104-ОЗ "О наделении органов местного самоуправления муниципальных образований, расположенных на территории Свердловской области, государственными полномочиями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</si>
  <si>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01.01.2009, не установлен</t>
  </si>
  <si>
    <t>подп.13 п.2 ст.26.3</t>
  </si>
  <si>
    <t>Закон Свердловской области от 15.07.2013 № 78-ОЗ "Об образовании в Свердловской области"</t>
  </si>
  <si>
    <t>ст.26</t>
  </si>
  <si>
    <t>01.09.2013, не становлен</t>
  </si>
  <si>
    <t>подп.24 п.2 ст.26.3</t>
  </si>
  <si>
    <t>Закон Свердловской области от 29.10.2007 № 135-ОЗ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</si>
  <si>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01.01.2008, не установлен</t>
  </si>
  <si>
    <t>подп.24.1 п.2 ст.26.3</t>
  </si>
  <si>
    <t>Закон Свердловской области от 27.12.2010 № 116-ОЗ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</si>
  <si>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01.01.2011, не установлен</t>
  </si>
  <si>
    <t>подп.49 п.2 ст.26.3</t>
  </si>
  <si>
    <t>Закон Свердловской области от 03.12.2014 № 110-ОЗ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организации проведения мероприятий по отлову и содержанию безнадзорных собак"</t>
  </si>
  <si>
    <t>01.09.2015, не установлен</t>
  </si>
  <si>
    <t>Постановление Правительства Российской Федерации от 12.12.2007 № 861 "Об утверждении методики распределения субвенций из федерального бюджета между бюджетами субъектов Российской Федерации на оплату жилищно-коммунальных услуг отдельным категориям граждан и Правил предоставления субвенций из федерального бюджета бюджетам субъектов Российской Федерации на оплату жилищно-коммунальных услуг  отдельным категориям граждан  и осуществления расходов бюджетов субъектов субъектов РФ, источником финансового обеспечения которых  являются указанные субвенции"</t>
  </si>
  <si>
    <t>Закон Свердловской области от 09.10.2009 № 79-ОЗ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</si>
  <si>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01.01.2010, не установлен</t>
  </si>
  <si>
    <t>Закон свердловской области от 19.11.2008 № 105-ОЗ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</si>
  <si>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Закон Свердловской области от 25.04.2013 № 41-ОЗ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</si>
  <si>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01.01.2014, не установлен</t>
  </si>
  <si>
    <t>Жилищный Кодекс РФ от 22.12.2004 № 188-ФЗ</t>
  </si>
  <si>
    <t>ч.2.1 ст.169</t>
  </si>
  <si>
    <t>29.12.2004, не установлен</t>
  </si>
  <si>
    <t>Закон Свердловской области от 22.03.2016 № 32-ОЗ "О компенсации расходов на уплату взноса на капитальный ремонт общего имущества в многоквартирном доме"</t>
  </si>
  <si>
    <t>28.03.2016, не установлен</t>
  </si>
  <si>
    <t>Приме-чание</t>
  </si>
  <si>
    <t>Методика расчета оценки</t>
  </si>
  <si>
    <t>Оценка стоимости полномочий муниципальных образований (тыс. рублей)</t>
  </si>
  <si>
    <t>очередной 2019 год</t>
  </si>
  <si>
    <t>плановый период</t>
  </si>
  <si>
    <t xml:space="preserve"> 2020 год</t>
  </si>
  <si>
    <t xml:space="preserve"> 2021 год</t>
  </si>
  <si>
    <t>с учетом расходов на содержание органов местного самоуправления</t>
  </si>
  <si>
    <t>не указан</t>
  </si>
  <si>
    <t>с учетом расходов на финансовое обеспечение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</si>
  <si>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иной метод</t>
  </si>
  <si>
    <t>плановый метод</t>
  </si>
  <si>
    <t xml:space="preserve">«15»  апреля 2018 года </t>
  </si>
  <si>
    <t>Решение Думы 16.12.2015 № 107"Об утверждении Положения о порядке осуществления муниципальных заимствований, обслуживания муниципального долга и управления муниципальным долгом в Североуральском городском округе"</t>
  </si>
  <si>
    <r>
      <t>Финансовый орган муниципального образования _</t>
    </r>
    <r>
      <rPr>
        <u val="single"/>
        <sz val="12"/>
        <color indexed="8"/>
        <rFont val="Times New Roman"/>
        <family val="1"/>
      </rPr>
      <t>Североуральский городской округ</t>
    </r>
  </si>
  <si>
    <r>
      <t>Наименование бюджета _</t>
    </r>
    <r>
      <rPr>
        <u val="single"/>
        <sz val="12"/>
        <color indexed="8"/>
        <rFont val="Times New Roman"/>
        <family val="1"/>
      </rPr>
      <t>_Бюджет Североуральского городского округа</t>
    </r>
  </si>
  <si>
    <t>РЕЕСТР</t>
  </si>
  <si>
    <t xml:space="preserve">текущий 2018 год (по состоянию на 28.02.2018г.) </t>
  </si>
  <si>
    <t xml:space="preserve">расходных обязательств по Североуральскому городскому округу </t>
  </si>
  <si>
    <t>Код раздела, подраздела</t>
  </si>
  <si>
    <t>Код вида расходов</t>
  </si>
  <si>
    <t>Толстова Т.В.</t>
  </si>
  <si>
    <t>Адиева Г.Г.</t>
  </si>
  <si>
    <t>8(34380)22763 mail@fin-severouralsk.ru</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</si>
</sst>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mmm/yyyy"/>
    <numFmt numFmtId="170" formatCode="#,##0.0"/>
  </numFmts>
  <fonts count="63">
    <font>
      <sz val="11"/>
      <color theme="1"/>
      <name val="Calibri"/>
      <family val="2"/>
    </font>
    <font>
      <sz val="11"/>
      <color indexed="8"/>
      <name val="Calibri"/>
      <family val="2"/>
    </font>
    <font>
      <sz val="10"/>
      <name val="Arial"/>
      <family val="2"/>
    </font>
    <font>
      <sz val="8"/>
      <name val="Times New Roman"/>
      <family val="1"/>
    </font>
    <font>
      <sz val="8"/>
      <color indexed="8"/>
      <name val="Times New Roman"/>
      <family val="1"/>
    </font>
    <font>
      <sz val="6"/>
      <name val="Times New Roman"/>
      <family val="1"/>
    </font>
    <font>
      <u val="single"/>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7"/>
      <color indexed="8"/>
      <name val="Times New Roman"/>
      <family val="1"/>
    </font>
    <font>
      <sz val="6"/>
      <color indexed="8"/>
      <name val="Times New Roman"/>
      <family val="1"/>
    </font>
    <font>
      <sz val="8"/>
      <color indexed="10"/>
      <name val="Times New Roman"/>
      <family val="1"/>
    </font>
    <font>
      <sz val="8"/>
      <color indexed="60"/>
      <name val="Times New Roman"/>
      <family val="1"/>
    </font>
    <font>
      <b/>
      <sz val="7"/>
      <color indexed="8"/>
      <name val="Times New Roman"/>
      <family val="1"/>
    </font>
    <font>
      <sz val="9"/>
      <color indexed="8"/>
      <name val="Times New Roman"/>
      <family val="1"/>
    </font>
    <font>
      <sz val="9"/>
      <color indexed="8"/>
      <name val="Calibri"/>
      <family val="2"/>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8"/>
      <color theme="1"/>
      <name val="Times New Roman"/>
      <family val="1"/>
    </font>
    <font>
      <sz val="7"/>
      <color theme="1"/>
      <name val="Times New Roman"/>
      <family val="1"/>
    </font>
    <font>
      <sz val="6"/>
      <color theme="1"/>
      <name val="Times New Roman"/>
      <family val="1"/>
    </font>
    <font>
      <sz val="8"/>
      <color rgb="FFFF0000"/>
      <name val="Times New Roman"/>
      <family val="1"/>
    </font>
    <font>
      <sz val="8"/>
      <color theme="5" tint="-0.24997000396251678"/>
      <name val="Times New Roman"/>
      <family val="1"/>
    </font>
    <font>
      <b/>
      <sz val="7"/>
      <color theme="1"/>
      <name val="Times New Roman"/>
      <family val="1"/>
    </font>
    <font>
      <sz val="9"/>
      <color theme="1"/>
      <name val="Times New Roman"/>
      <family val="1"/>
    </font>
    <font>
      <sz val="9"/>
      <color theme="1"/>
      <name val="Calibri"/>
      <family val="2"/>
    </font>
    <font>
      <b/>
      <sz val="12"/>
      <color theme="1"/>
      <name val="Times New Roman"/>
      <family val="1"/>
    </font>
    <font>
      <sz val="8"/>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medium"/>
      <bottom style="medium"/>
    </border>
    <border>
      <left style="thin"/>
      <right style="thin"/>
      <top style="medium"/>
      <bottom style="medium"/>
    </border>
    <border>
      <left>
        <color indexed="63"/>
      </left>
      <right style="thin"/>
      <top style="medium"/>
      <bottom style="medium"/>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2"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135">
    <xf numFmtId="0" fontId="0" fillId="0" borderId="0" xfId="0" applyFont="1" applyAlignment="1">
      <alignment/>
    </xf>
    <xf numFmtId="0" fontId="52" fillId="0" borderId="0" xfId="0" applyFont="1" applyAlignment="1">
      <alignment/>
    </xf>
    <xf numFmtId="0" fontId="0" fillId="33" borderId="0" xfId="0" applyFill="1" applyAlignment="1">
      <alignment/>
    </xf>
    <xf numFmtId="0" fontId="53" fillId="33" borderId="10" xfId="0" applyFont="1" applyFill="1" applyBorder="1" applyAlignment="1">
      <alignment horizontal="justify" vertical="top" wrapText="1"/>
    </xf>
    <xf numFmtId="0" fontId="53" fillId="33" borderId="10" xfId="0" applyFont="1" applyFill="1" applyBorder="1" applyAlignment="1">
      <alignment horizontal="center" vertical="top" wrapText="1"/>
    </xf>
    <xf numFmtId="0" fontId="0" fillId="33" borderId="11" xfId="0" applyFill="1" applyBorder="1" applyAlignment="1">
      <alignment/>
    </xf>
    <xf numFmtId="0" fontId="0" fillId="0" borderId="11" xfId="0" applyBorder="1" applyAlignment="1">
      <alignment/>
    </xf>
    <xf numFmtId="14" fontId="53" fillId="33" borderId="10" xfId="0" applyNumberFormat="1" applyFont="1" applyFill="1" applyBorder="1" applyAlignment="1">
      <alignment horizontal="justify" vertical="top" wrapText="1"/>
    </xf>
    <xf numFmtId="0" fontId="0" fillId="33" borderId="10" xfId="0" applyFill="1" applyBorder="1" applyAlignment="1">
      <alignment/>
    </xf>
    <xf numFmtId="0" fontId="0" fillId="0" borderId="12" xfId="0" applyBorder="1" applyAlignment="1">
      <alignment/>
    </xf>
    <xf numFmtId="49" fontId="53" fillId="33" borderId="10" xfId="0" applyNumberFormat="1" applyFont="1" applyFill="1" applyBorder="1" applyAlignment="1">
      <alignment horizontal="justify" vertical="top" wrapText="1"/>
    </xf>
    <xf numFmtId="0" fontId="54" fillId="33" borderId="10" xfId="0" applyFont="1" applyFill="1" applyBorder="1" applyAlignment="1">
      <alignment horizontal="justify" vertical="top" wrapText="1"/>
    </xf>
    <xf numFmtId="0" fontId="53" fillId="33" borderId="10" xfId="0" applyFont="1" applyFill="1" applyBorder="1" applyAlignment="1">
      <alignment vertical="top" wrapText="1"/>
    </xf>
    <xf numFmtId="168" fontId="53" fillId="33" borderId="10" xfId="0" applyNumberFormat="1" applyFont="1" applyFill="1" applyBorder="1" applyAlignment="1">
      <alignment horizontal="left" vertical="top" wrapText="1"/>
    </xf>
    <xf numFmtId="168" fontId="53" fillId="33" borderId="10" xfId="0" applyNumberFormat="1" applyFont="1" applyFill="1" applyBorder="1" applyAlignment="1">
      <alignment horizontal="justify" vertical="top" wrapText="1"/>
    </xf>
    <xf numFmtId="2" fontId="53" fillId="33" borderId="10" xfId="0" applyNumberFormat="1" applyFont="1" applyFill="1" applyBorder="1" applyAlignment="1">
      <alignment horizontal="left" vertical="top" wrapText="1"/>
    </xf>
    <xf numFmtId="168" fontId="0" fillId="33" borderId="0" xfId="0" applyNumberFormat="1" applyFill="1" applyAlignment="1">
      <alignment/>
    </xf>
    <xf numFmtId="0" fontId="3" fillId="33" borderId="10" xfId="0" applyFont="1" applyFill="1" applyBorder="1" applyAlignment="1">
      <alignment horizontal="justify" vertical="top" wrapText="1"/>
    </xf>
    <xf numFmtId="0" fontId="53" fillId="33" borderId="10" xfId="0" applyFont="1" applyFill="1" applyBorder="1" applyAlignment="1">
      <alignment horizontal="left" vertical="top" wrapText="1"/>
    </xf>
    <xf numFmtId="49" fontId="53" fillId="33" borderId="10" xfId="0" applyNumberFormat="1" applyFont="1" applyFill="1" applyBorder="1" applyAlignment="1">
      <alignment horizontal="left" vertical="top" wrapText="1"/>
    </xf>
    <xf numFmtId="0" fontId="53" fillId="33" borderId="10" xfId="0" applyFont="1" applyFill="1" applyBorder="1" applyAlignment="1">
      <alignment vertical="center" wrapText="1"/>
    </xf>
    <xf numFmtId="0" fontId="0" fillId="0" borderId="13" xfId="0" applyBorder="1" applyAlignment="1">
      <alignment/>
    </xf>
    <xf numFmtId="0" fontId="0" fillId="33" borderId="14" xfId="0" applyFill="1" applyBorder="1" applyAlignment="1">
      <alignment/>
    </xf>
    <xf numFmtId="0" fontId="53" fillId="33" borderId="10" xfId="0" applyFont="1" applyFill="1" applyBorder="1" applyAlignment="1">
      <alignment horizontal="center" vertical="top" wrapText="1"/>
    </xf>
    <xf numFmtId="0" fontId="53" fillId="33" borderId="10" xfId="0" applyFont="1" applyFill="1" applyBorder="1" applyAlignment="1">
      <alignment horizontal="left" vertical="top" wrapText="1"/>
    </xf>
    <xf numFmtId="49" fontId="53" fillId="33" borderId="10" xfId="0" applyNumberFormat="1" applyFont="1" applyFill="1" applyBorder="1" applyAlignment="1">
      <alignment horizontal="justify" vertical="top" wrapText="1"/>
    </xf>
    <xf numFmtId="0" fontId="53" fillId="33" borderId="10" xfId="0" applyFont="1" applyFill="1" applyBorder="1" applyAlignment="1">
      <alignment horizontal="justify" vertical="top" wrapText="1"/>
    </xf>
    <xf numFmtId="0" fontId="55" fillId="33" borderId="10" xfId="0" applyFont="1" applyFill="1" applyBorder="1" applyAlignment="1">
      <alignment horizontal="left" vertical="top" wrapText="1"/>
    </xf>
    <xf numFmtId="0" fontId="56" fillId="33" borderId="10" xfId="0" applyFont="1" applyFill="1" applyBorder="1" applyAlignment="1">
      <alignment horizontal="justify" vertical="top" wrapText="1"/>
    </xf>
    <xf numFmtId="0" fontId="54" fillId="33" borderId="10" xfId="0" applyFont="1" applyFill="1" applyBorder="1" applyAlignment="1">
      <alignment horizontal="left" vertical="top" wrapText="1"/>
    </xf>
    <xf numFmtId="49" fontId="53" fillId="33" borderId="10" xfId="0" applyNumberFormat="1" applyFont="1" applyFill="1" applyBorder="1" applyAlignment="1">
      <alignment horizontal="center" vertical="top" wrapText="1"/>
    </xf>
    <xf numFmtId="0" fontId="55" fillId="33" borderId="10" xfId="0" applyFont="1" applyFill="1" applyBorder="1" applyAlignment="1">
      <alignment horizontal="justify" vertical="top" wrapText="1"/>
    </xf>
    <xf numFmtId="0" fontId="57" fillId="33" borderId="10" xfId="0" applyFont="1" applyFill="1" applyBorder="1" applyAlignment="1">
      <alignment horizontal="justify" vertical="top" wrapText="1"/>
    </xf>
    <xf numFmtId="14" fontId="53" fillId="33" borderId="10" xfId="0" applyNumberFormat="1" applyFont="1" applyFill="1" applyBorder="1" applyAlignment="1">
      <alignment horizontal="center" vertical="top" wrapText="1"/>
    </xf>
    <xf numFmtId="0" fontId="54" fillId="33" borderId="10" xfId="0" applyFont="1" applyFill="1" applyBorder="1" applyAlignment="1">
      <alignment vertical="top" wrapText="1"/>
    </xf>
    <xf numFmtId="168" fontId="53" fillId="33" borderId="10" xfId="0" applyNumberFormat="1" applyFont="1" applyFill="1" applyBorder="1" applyAlignment="1">
      <alignment horizontal="left" vertical="top" wrapText="1"/>
    </xf>
    <xf numFmtId="2" fontId="53" fillId="33" borderId="10" xfId="0" applyNumberFormat="1" applyFont="1" applyFill="1" applyBorder="1" applyAlignment="1">
      <alignment vertical="top" wrapText="1"/>
    </xf>
    <xf numFmtId="2" fontId="53" fillId="33" borderId="10" xfId="0" applyNumberFormat="1" applyFont="1" applyFill="1" applyBorder="1" applyAlignment="1">
      <alignment horizontal="justify" vertical="top" wrapText="1"/>
    </xf>
    <xf numFmtId="49" fontId="53" fillId="33" borderId="10" xfId="0" applyNumberFormat="1" applyFont="1" applyFill="1" applyBorder="1" applyAlignment="1">
      <alignment vertical="top" wrapText="1"/>
    </xf>
    <xf numFmtId="0" fontId="53" fillId="33" borderId="10" xfId="0" applyFont="1" applyFill="1" applyBorder="1" applyAlignment="1">
      <alignment horizontal="center" vertical="center" wrapText="1"/>
    </xf>
    <xf numFmtId="0" fontId="3" fillId="33" borderId="10" xfId="53" applyNumberFormat="1" applyFont="1" applyFill="1" applyBorder="1" applyAlignment="1" applyProtection="1">
      <alignment horizontal="left" vertical="top" wrapText="1"/>
      <protection/>
    </xf>
    <xf numFmtId="2" fontId="53" fillId="33" borderId="10" xfId="0" applyNumberFormat="1" applyFont="1" applyFill="1" applyBorder="1" applyAlignment="1">
      <alignment vertical="justify" wrapText="1"/>
    </xf>
    <xf numFmtId="0" fontId="53" fillId="33" borderId="10" xfId="0" applyFont="1" applyFill="1" applyBorder="1" applyAlignment="1">
      <alignment/>
    </xf>
    <xf numFmtId="0" fontId="58" fillId="33" borderId="10" xfId="0" applyFont="1" applyFill="1" applyBorder="1" applyAlignment="1">
      <alignment horizontal="left" vertical="top" wrapText="1"/>
    </xf>
    <xf numFmtId="0" fontId="59" fillId="33" borderId="10" xfId="0" applyFont="1" applyFill="1" applyBorder="1" applyAlignment="1">
      <alignment horizontal="left" vertical="top" wrapText="1"/>
    </xf>
    <xf numFmtId="0" fontId="53" fillId="33" borderId="15" xfId="0" applyFont="1" applyFill="1" applyBorder="1" applyAlignment="1">
      <alignment vertical="top" wrapText="1"/>
    </xf>
    <xf numFmtId="0" fontId="53" fillId="33" borderId="10" xfId="0" applyFont="1" applyFill="1" applyBorder="1" applyAlignment="1">
      <alignment vertical="top" wrapText="1"/>
    </xf>
    <xf numFmtId="0" fontId="53" fillId="0" borderId="0" xfId="0" applyFont="1" applyAlignment="1">
      <alignment vertical="top" wrapText="1"/>
    </xf>
    <xf numFmtId="0" fontId="53" fillId="33" borderId="16" xfId="0" applyFont="1" applyFill="1" applyBorder="1" applyAlignment="1">
      <alignment vertical="top" wrapText="1"/>
    </xf>
    <xf numFmtId="0" fontId="53" fillId="33" borderId="17" xfId="0" applyFont="1" applyFill="1" applyBorder="1" applyAlignment="1">
      <alignment vertical="top" wrapText="1"/>
    </xf>
    <xf numFmtId="0" fontId="53" fillId="33" borderId="15" xfId="0" applyFont="1" applyFill="1" applyBorder="1" applyAlignment="1">
      <alignment vertical="top" wrapText="1"/>
    </xf>
    <xf numFmtId="0" fontId="53" fillId="33" borderId="10" xfId="0" applyFont="1" applyFill="1" applyBorder="1" applyAlignment="1">
      <alignment horizontal="center" vertical="top" wrapText="1"/>
    </xf>
    <xf numFmtId="0" fontId="53" fillId="33" borderId="10" xfId="0" applyFont="1" applyFill="1" applyBorder="1" applyAlignment="1">
      <alignment horizontal="justify" vertical="top" wrapText="1"/>
    </xf>
    <xf numFmtId="14" fontId="53" fillId="33" borderId="10" xfId="0" applyNumberFormat="1" applyFont="1" applyFill="1" applyBorder="1" applyAlignment="1">
      <alignment horizontal="left" vertical="top" wrapText="1"/>
    </xf>
    <xf numFmtId="0" fontId="53" fillId="33" borderId="10" xfId="0" applyFont="1" applyFill="1" applyBorder="1" applyAlignment="1">
      <alignment horizontal="left" vertical="top" wrapText="1"/>
    </xf>
    <xf numFmtId="0" fontId="3" fillId="33" borderId="10" xfId="53" applyNumberFormat="1" applyFont="1" applyFill="1" applyBorder="1" applyAlignment="1" applyProtection="1">
      <alignment vertical="top" wrapText="1"/>
      <protection/>
    </xf>
    <xf numFmtId="0" fontId="54" fillId="33" borderId="10" xfId="0" applyFont="1" applyFill="1" applyBorder="1" applyAlignment="1">
      <alignment horizontal="left" vertical="top" wrapText="1"/>
    </xf>
    <xf numFmtId="14" fontId="53" fillId="33" borderId="10" xfId="0" applyNumberFormat="1" applyFont="1" applyFill="1" applyBorder="1" applyAlignment="1">
      <alignment vertical="top" wrapText="1"/>
    </xf>
    <xf numFmtId="0" fontId="53" fillId="33" borderId="10" xfId="0" applyFont="1" applyFill="1" applyBorder="1" applyAlignment="1">
      <alignment vertical="top" wrapText="1"/>
    </xf>
    <xf numFmtId="0" fontId="60" fillId="33" borderId="10" xfId="0" applyFont="1" applyFill="1" applyBorder="1" applyAlignment="1">
      <alignment vertical="top" wrapText="1"/>
    </xf>
    <xf numFmtId="0" fontId="53" fillId="33" borderId="10" xfId="0" applyFont="1" applyFill="1" applyBorder="1" applyAlignment="1">
      <alignment horizontal="left" vertical="top" wrapText="1"/>
    </xf>
    <xf numFmtId="0" fontId="53" fillId="33" borderId="10" xfId="0" applyFont="1" applyFill="1" applyBorder="1" applyAlignment="1">
      <alignment horizontal="center" vertical="top" wrapText="1"/>
    </xf>
    <xf numFmtId="0" fontId="53" fillId="33" borderId="10" xfId="0" applyFont="1" applyFill="1" applyBorder="1" applyAlignment="1">
      <alignment vertical="top" wrapText="1"/>
    </xf>
    <xf numFmtId="14" fontId="53" fillId="33" borderId="10" xfId="0" applyNumberFormat="1" applyFont="1" applyFill="1" applyBorder="1" applyAlignment="1">
      <alignment vertical="top" wrapText="1"/>
    </xf>
    <xf numFmtId="0" fontId="53" fillId="33" borderId="16" xfId="0" applyFont="1" applyFill="1" applyBorder="1" applyAlignment="1">
      <alignment vertical="top" wrapText="1"/>
    </xf>
    <xf numFmtId="0" fontId="53" fillId="33" borderId="17" xfId="0" applyFont="1" applyFill="1" applyBorder="1" applyAlignment="1">
      <alignment vertical="top" wrapText="1"/>
    </xf>
    <xf numFmtId="0" fontId="53" fillId="33" borderId="15" xfId="0" applyFont="1" applyFill="1" applyBorder="1" applyAlignment="1">
      <alignment vertical="top" wrapText="1"/>
    </xf>
    <xf numFmtId="14" fontId="53" fillId="33" borderId="10" xfId="0" applyNumberFormat="1" applyFont="1" applyFill="1" applyBorder="1" applyAlignment="1">
      <alignment horizontal="center" vertical="top" wrapText="1"/>
    </xf>
    <xf numFmtId="0" fontId="4" fillId="33" borderId="10" xfId="0" applyFont="1" applyFill="1" applyBorder="1" applyAlignment="1">
      <alignment horizontal="justify" vertical="top" wrapText="1"/>
    </xf>
    <xf numFmtId="14" fontId="4" fillId="33" borderId="10" xfId="0" applyNumberFormat="1" applyFont="1" applyFill="1" applyBorder="1" applyAlignment="1">
      <alignment horizontal="justify" vertical="top" wrapText="1"/>
    </xf>
    <xf numFmtId="0" fontId="4" fillId="33" borderId="10" xfId="0" applyFont="1" applyFill="1" applyBorder="1" applyAlignment="1">
      <alignment horizontal="justify" vertical="top" wrapText="1"/>
    </xf>
    <xf numFmtId="0" fontId="53" fillId="0" borderId="10" xfId="0" applyFont="1" applyBorder="1" applyAlignment="1">
      <alignment horizontal="center" vertical="top"/>
    </xf>
    <xf numFmtId="14" fontId="53" fillId="33" borderId="16" xfId="0" applyNumberFormat="1" applyFont="1" applyFill="1" applyBorder="1" applyAlignment="1">
      <alignment vertical="top" wrapText="1"/>
    </xf>
    <xf numFmtId="14" fontId="53" fillId="33" borderId="17" xfId="0" applyNumberFormat="1" applyFont="1" applyFill="1" applyBorder="1" applyAlignment="1">
      <alignment vertical="top" wrapText="1"/>
    </xf>
    <xf numFmtId="14" fontId="53" fillId="33" borderId="15" xfId="0" applyNumberFormat="1" applyFont="1" applyFill="1" applyBorder="1" applyAlignment="1">
      <alignment vertical="top" wrapText="1"/>
    </xf>
    <xf numFmtId="0" fontId="54" fillId="33" borderId="15" xfId="0" applyFont="1" applyFill="1" applyBorder="1" applyAlignment="1">
      <alignment vertical="top" wrapText="1"/>
    </xf>
    <xf numFmtId="2" fontId="53" fillId="33" borderId="17" xfId="0" applyNumberFormat="1" applyFont="1" applyFill="1" applyBorder="1" applyAlignment="1">
      <alignment vertical="top" wrapText="1"/>
    </xf>
    <xf numFmtId="2" fontId="53" fillId="33" borderId="15" xfId="0" applyNumberFormat="1" applyFont="1" applyFill="1" applyBorder="1" applyAlignment="1">
      <alignment vertical="top" wrapText="1"/>
    </xf>
    <xf numFmtId="0" fontId="52" fillId="0" borderId="18" xfId="0" applyFont="1" applyBorder="1" applyAlignment="1">
      <alignment/>
    </xf>
    <xf numFmtId="0" fontId="0" fillId="0" borderId="18" xfId="0" applyBorder="1" applyAlignment="1">
      <alignment/>
    </xf>
    <xf numFmtId="0" fontId="0" fillId="33" borderId="18" xfId="0" applyFill="1" applyBorder="1" applyAlignment="1">
      <alignment/>
    </xf>
    <xf numFmtId="0" fontId="53" fillId="33" borderId="16" xfId="0" applyFont="1" applyFill="1" applyBorder="1" applyAlignment="1">
      <alignment horizontal="center" vertical="top" wrapText="1"/>
    </xf>
    <xf numFmtId="0" fontId="53" fillId="33" borderId="17" xfId="0" applyFont="1" applyFill="1" applyBorder="1" applyAlignment="1">
      <alignment horizontal="center" vertical="top" wrapText="1"/>
    </xf>
    <xf numFmtId="0" fontId="53" fillId="33" borderId="15" xfId="0" applyFont="1" applyFill="1" applyBorder="1" applyAlignment="1">
      <alignment horizontal="center" vertical="top" wrapText="1"/>
    </xf>
    <xf numFmtId="0" fontId="53" fillId="33" borderId="10" xfId="0" applyFont="1" applyFill="1" applyBorder="1" applyAlignment="1">
      <alignment horizontal="left" vertical="top" wrapText="1"/>
    </xf>
    <xf numFmtId="0" fontId="53" fillId="33" borderId="16" xfId="0" applyFont="1" applyFill="1" applyBorder="1" applyAlignment="1">
      <alignment horizontal="left" vertical="top" wrapText="1"/>
    </xf>
    <xf numFmtId="0" fontId="53" fillId="33" borderId="15" xfId="0" applyFont="1" applyFill="1" applyBorder="1" applyAlignment="1">
      <alignment horizontal="left" vertical="top" wrapText="1"/>
    </xf>
    <xf numFmtId="14" fontId="53" fillId="33" borderId="10" xfId="0" applyNumberFormat="1" applyFont="1" applyFill="1" applyBorder="1" applyAlignment="1">
      <alignment horizontal="left" vertical="top" wrapText="1"/>
    </xf>
    <xf numFmtId="168" fontId="53" fillId="33" borderId="16" xfId="0" applyNumberFormat="1" applyFont="1" applyFill="1" applyBorder="1" applyAlignment="1">
      <alignment horizontal="left" vertical="top" wrapText="1"/>
    </xf>
    <xf numFmtId="168" fontId="53" fillId="33" borderId="15" xfId="0" applyNumberFormat="1" applyFont="1" applyFill="1" applyBorder="1" applyAlignment="1">
      <alignment horizontal="left" vertical="top" wrapText="1"/>
    </xf>
    <xf numFmtId="14" fontId="53" fillId="33" borderId="10" xfId="0" applyNumberFormat="1" applyFont="1" applyFill="1" applyBorder="1" applyAlignment="1">
      <alignment horizontal="center" vertical="top" wrapText="1"/>
    </xf>
    <xf numFmtId="0" fontId="53" fillId="33" borderId="10" xfId="0" applyFont="1" applyFill="1" applyBorder="1" applyAlignment="1">
      <alignment horizontal="center" vertical="top" wrapText="1"/>
    </xf>
    <xf numFmtId="14" fontId="53" fillId="33" borderId="16" xfId="0" applyNumberFormat="1" applyFont="1" applyFill="1" applyBorder="1" applyAlignment="1">
      <alignment horizontal="center" vertical="top" wrapText="1"/>
    </xf>
    <xf numFmtId="14" fontId="53" fillId="33" borderId="17" xfId="0" applyNumberFormat="1" applyFont="1" applyFill="1" applyBorder="1" applyAlignment="1">
      <alignment horizontal="center" vertical="top" wrapText="1"/>
    </xf>
    <xf numFmtId="14" fontId="53" fillId="33" borderId="15" xfId="0" applyNumberFormat="1" applyFont="1" applyFill="1" applyBorder="1" applyAlignment="1">
      <alignment horizontal="center" vertical="top" wrapText="1"/>
    </xf>
    <xf numFmtId="0" fontId="53" fillId="33" borderId="10" xfId="0" applyFont="1" applyFill="1" applyBorder="1" applyAlignment="1">
      <alignment horizontal="justify" vertical="top" wrapText="1"/>
    </xf>
    <xf numFmtId="168" fontId="53" fillId="33" borderId="10" xfId="0" applyNumberFormat="1" applyFont="1" applyFill="1" applyBorder="1" applyAlignment="1">
      <alignment horizontal="left" vertical="top" wrapText="1"/>
    </xf>
    <xf numFmtId="0" fontId="5" fillId="33" borderId="19" xfId="0" applyFont="1" applyFill="1" applyBorder="1" applyAlignment="1">
      <alignment horizontal="left" vertical="top" wrapText="1"/>
    </xf>
    <xf numFmtId="49" fontId="53" fillId="33" borderId="10" xfId="0" applyNumberFormat="1" applyFont="1" applyFill="1" applyBorder="1" applyAlignment="1">
      <alignment horizontal="left" vertical="top" wrapText="1"/>
    </xf>
    <xf numFmtId="0" fontId="53" fillId="33" borderId="17" xfId="0" applyFont="1" applyFill="1" applyBorder="1" applyAlignment="1">
      <alignment horizontal="left" vertical="top" wrapText="1"/>
    </xf>
    <xf numFmtId="0" fontId="54" fillId="33" borderId="16" xfId="0" applyFont="1" applyFill="1" applyBorder="1" applyAlignment="1">
      <alignment horizontal="center" vertical="top" wrapText="1"/>
    </xf>
    <xf numFmtId="0" fontId="54" fillId="33" borderId="17" xfId="0" applyFont="1" applyFill="1" applyBorder="1" applyAlignment="1">
      <alignment horizontal="center" vertical="top" wrapText="1"/>
    </xf>
    <xf numFmtId="0" fontId="54" fillId="33" borderId="15" xfId="0" applyFont="1" applyFill="1" applyBorder="1" applyAlignment="1">
      <alignment horizontal="center" vertical="top" wrapText="1"/>
    </xf>
    <xf numFmtId="170" fontId="4" fillId="33" borderId="10" xfId="0" applyNumberFormat="1" applyFont="1" applyFill="1" applyBorder="1" applyAlignment="1">
      <alignment horizontal="left" vertical="top" wrapText="1"/>
    </xf>
    <xf numFmtId="0" fontId="54" fillId="33" borderId="10" xfId="0" applyFont="1" applyFill="1" applyBorder="1" applyAlignment="1">
      <alignment horizontal="center" vertical="top" wrapText="1"/>
    </xf>
    <xf numFmtId="0" fontId="54" fillId="33" borderId="10" xfId="0" applyFont="1" applyFill="1" applyBorder="1" applyAlignment="1">
      <alignment horizontal="left" vertical="top" wrapText="1"/>
    </xf>
    <xf numFmtId="0" fontId="53" fillId="33" borderId="10" xfId="0" applyFont="1" applyFill="1" applyBorder="1" applyAlignment="1">
      <alignment vertical="top" wrapText="1"/>
    </xf>
    <xf numFmtId="0" fontId="3" fillId="33" borderId="10" xfId="53" applyNumberFormat="1" applyFont="1" applyFill="1" applyBorder="1" applyAlignment="1" applyProtection="1">
      <alignment horizontal="left" vertical="top" wrapText="1"/>
      <protection/>
    </xf>
    <xf numFmtId="0" fontId="52" fillId="33" borderId="10" xfId="0" applyFont="1" applyFill="1" applyBorder="1" applyAlignment="1">
      <alignment horizontal="center" vertical="top" wrapText="1"/>
    </xf>
    <xf numFmtId="0" fontId="53" fillId="33" borderId="20" xfId="0" applyFont="1" applyFill="1" applyBorder="1" applyAlignment="1">
      <alignment horizontal="center" vertical="top" wrapText="1"/>
    </xf>
    <xf numFmtId="0" fontId="53" fillId="33" borderId="21" xfId="0" applyFont="1" applyFill="1" applyBorder="1" applyAlignment="1">
      <alignment horizontal="center" vertical="top" wrapText="1"/>
    </xf>
    <xf numFmtId="0" fontId="53" fillId="33" borderId="14" xfId="0" applyFont="1" applyFill="1" applyBorder="1" applyAlignment="1">
      <alignment horizontal="center" vertical="top" wrapText="1"/>
    </xf>
    <xf numFmtId="0" fontId="59" fillId="33" borderId="10" xfId="0" applyFont="1" applyFill="1" applyBorder="1" applyAlignment="1">
      <alignment horizontal="left" vertical="top" wrapText="1"/>
    </xf>
    <xf numFmtId="2" fontId="53" fillId="33" borderId="10" xfId="0" applyNumberFormat="1" applyFont="1" applyFill="1" applyBorder="1" applyAlignment="1">
      <alignment horizontal="left" vertical="top" wrapText="1"/>
    </xf>
    <xf numFmtId="14" fontId="53" fillId="33" borderId="10" xfId="0" applyNumberFormat="1" applyFont="1" applyFill="1" applyBorder="1" applyAlignment="1">
      <alignment vertical="top" wrapText="1"/>
    </xf>
    <xf numFmtId="0" fontId="3" fillId="33" borderId="10" xfId="53" applyNumberFormat="1" applyFont="1" applyFill="1" applyBorder="1" applyAlignment="1" applyProtection="1">
      <alignment vertical="top" wrapText="1"/>
      <protection/>
    </xf>
    <xf numFmtId="0" fontId="58" fillId="33" borderId="10" xfId="0" applyFont="1" applyFill="1" applyBorder="1" applyAlignment="1">
      <alignment horizontal="left" vertical="top" wrapText="1"/>
    </xf>
    <xf numFmtId="0" fontId="61" fillId="0" borderId="0" xfId="0" applyFont="1" applyAlignment="1">
      <alignment horizontal="center"/>
    </xf>
    <xf numFmtId="0" fontId="52" fillId="0" borderId="0" xfId="0" applyFont="1" applyAlignment="1">
      <alignment horizontal="center"/>
    </xf>
    <xf numFmtId="0" fontId="52" fillId="0" borderId="0" xfId="0" applyFont="1" applyAlignment="1">
      <alignment horizontal="left"/>
    </xf>
    <xf numFmtId="0" fontId="4" fillId="33" borderId="10" xfId="0" applyFont="1" applyFill="1" applyBorder="1" applyAlignment="1">
      <alignment horizontal="justify" vertical="top" wrapText="1"/>
    </xf>
    <xf numFmtId="14" fontId="4" fillId="33" borderId="10" xfId="0" applyNumberFormat="1" applyFont="1" applyFill="1" applyBorder="1" applyAlignment="1">
      <alignment horizontal="justify" vertical="top" wrapText="1"/>
    </xf>
    <xf numFmtId="49" fontId="53" fillId="33" borderId="10" xfId="0" applyNumberFormat="1" applyFont="1" applyFill="1" applyBorder="1" applyAlignment="1">
      <alignment horizontal="justify" vertical="top" wrapText="1"/>
    </xf>
    <xf numFmtId="0" fontId="53" fillId="33" borderId="10" xfId="0" applyFont="1" applyFill="1" applyBorder="1" applyAlignment="1">
      <alignment horizontal="left" vertical="top"/>
    </xf>
    <xf numFmtId="0" fontId="0" fillId="33" borderId="10" xfId="0" applyFill="1" applyBorder="1" applyAlignment="1">
      <alignment horizontal="justify" vertical="top" wrapText="1"/>
    </xf>
    <xf numFmtId="0" fontId="62" fillId="0" borderId="10" xfId="0" applyFont="1" applyBorder="1" applyAlignment="1">
      <alignment horizontal="center" vertical="top" wrapText="1"/>
    </xf>
    <xf numFmtId="0" fontId="62" fillId="0" borderId="10" xfId="0" applyFont="1" applyBorder="1" applyAlignment="1">
      <alignment vertical="top" wrapText="1"/>
    </xf>
    <xf numFmtId="0" fontId="62" fillId="0" borderId="16" xfId="0" applyFont="1" applyBorder="1" applyAlignment="1">
      <alignment horizontal="center" vertical="top" wrapText="1"/>
    </xf>
    <xf numFmtId="0" fontId="62" fillId="0" borderId="17" xfId="0" applyFont="1" applyBorder="1" applyAlignment="1">
      <alignment horizontal="center" vertical="top" wrapText="1"/>
    </xf>
    <xf numFmtId="0" fontId="62" fillId="0" borderId="15" xfId="0" applyFont="1" applyBorder="1" applyAlignment="1">
      <alignment horizontal="center" vertical="top" wrapText="1"/>
    </xf>
    <xf numFmtId="0" fontId="53" fillId="33" borderId="16" xfId="0" applyFont="1" applyFill="1" applyBorder="1" applyAlignment="1">
      <alignment vertical="top" wrapText="1"/>
    </xf>
    <xf numFmtId="0" fontId="53" fillId="33" borderId="17" xfId="0" applyFont="1" applyFill="1" applyBorder="1" applyAlignment="1">
      <alignment vertical="top" wrapText="1"/>
    </xf>
    <xf numFmtId="0" fontId="53" fillId="33" borderId="15" xfId="0" applyFont="1" applyFill="1" applyBorder="1" applyAlignment="1">
      <alignment vertical="top" wrapText="1"/>
    </xf>
    <xf numFmtId="0" fontId="0" fillId="33" borderId="18" xfId="0" applyFill="1" applyBorder="1" applyAlignment="1">
      <alignment horizontal="center"/>
    </xf>
    <xf numFmtId="0" fontId="0" fillId="33" borderId="0" xfId="0" applyFill="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W327"/>
  <sheetViews>
    <sheetView tabSelected="1" view="pageBreakPreview" zoomScale="86" zoomScaleSheetLayoutView="86" zoomScalePageLayoutView="0" workbookViewId="0" topLeftCell="A1">
      <pane xSplit="4" ySplit="18" topLeftCell="E312" activePane="bottomRight" state="frozen"/>
      <selection pane="topLeft" activeCell="A1" sqref="A1"/>
      <selection pane="topRight" activeCell="E1" sqref="E1"/>
      <selection pane="bottomLeft" activeCell="A19" sqref="A19"/>
      <selection pane="bottomRight" activeCell="R326" sqref="R326"/>
    </sheetView>
  </sheetViews>
  <sheetFormatPr defaultColWidth="9.140625" defaultRowHeight="15"/>
  <cols>
    <col min="1" max="1" width="31.7109375" style="0" customWidth="1"/>
    <col min="2" max="2" width="9.421875" style="0" customWidth="1"/>
    <col min="3" max="3" width="9.140625" style="2" customWidth="1"/>
    <col min="4" max="4" width="7.57421875" style="2" customWidth="1"/>
    <col min="5" max="13" width="9.140625" style="2" customWidth="1"/>
    <col min="14" max="14" width="10.421875" style="2" customWidth="1"/>
    <col min="15" max="15" width="9.57421875" style="2" customWidth="1"/>
    <col min="16" max="16" width="9.8515625" style="2" customWidth="1"/>
    <col min="17" max="17" width="11.140625" style="2" customWidth="1"/>
    <col min="18" max="18" width="9.28125" style="2" customWidth="1"/>
    <col min="19" max="19" width="9.00390625" style="2" customWidth="1"/>
    <col min="20" max="21" width="8.7109375" style="2" customWidth="1"/>
    <col min="22" max="22" width="10.421875" style="2" customWidth="1"/>
    <col min="23" max="23" width="9.7109375" style="2" customWidth="1"/>
    <col min="24" max="24" width="8.28125" style="2" customWidth="1"/>
    <col min="25" max="31" width="9.140625" style="2" customWidth="1"/>
    <col min="32" max="32" width="7.421875" style="47" customWidth="1"/>
    <col min="33" max="33" width="9.140625" style="47" customWidth="1"/>
  </cols>
  <sheetData>
    <row r="2" spans="1:31" ht="15.75">
      <c r="A2" s="117" t="s">
        <v>292</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row>
    <row r="3" spans="1:31" ht="15.75">
      <c r="A3" s="117" t="s">
        <v>294</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row>
    <row r="4" spans="1:31" ht="15.75">
      <c r="A4" s="118"/>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row>
    <row r="5" spans="1:31" ht="15.75">
      <c r="A5" s="118"/>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row>
    <row r="6" ht="15.75">
      <c r="A6" s="1"/>
    </row>
    <row r="7" spans="1:31" ht="15.75">
      <c r="A7" s="119" t="s">
        <v>290</v>
      </c>
      <c r="B7" s="119"/>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row>
    <row r="8" ht="15.75">
      <c r="A8" s="1" t="s">
        <v>291</v>
      </c>
    </row>
    <row r="9" spans="1:14" ht="15.75">
      <c r="A9" s="78" t="s">
        <v>0</v>
      </c>
      <c r="B9" s="79"/>
      <c r="C9" s="80"/>
      <c r="D9" s="80"/>
      <c r="E9" s="80"/>
      <c r="F9" s="80"/>
      <c r="G9" s="80"/>
      <c r="N9" s="16"/>
    </row>
    <row r="10" ht="15.75">
      <c r="A10" s="1"/>
    </row>
    <row r="11" spans="1:48" ht="33.75" customHeight="1">
      <c r="A11" s="108" t="s">
        <v>1</v>
      </c>
      <c r="B11" s="91" t="s">
        <v>2</v>
      </c>
      <c r="C11" s="81" t="s">
        <v>295</v>
      </c>
      <c r="D11" s="81" t="s">
        <v>296</v>
      </c>
      <c r="E11" s="91" t="s">
        <v>3</v>
      </c>
      <c r="F11" s="91"/>
      <c r="G11" s="91"/>
      <c r="H11" s="91"/>
      <c r="I11" s="91"/>
      <c r="J11" s="91"/>
      <c r="K11" s="91"/>
      <c r="L11" s="91"/>
      <c r="M11" s="91"/>
      <c r="N11" s="109" t="s">
        <v>4</v>
      </c>
      <c r="O11" s="110"/>
      <c r="P11" s="110"/>
      <c r="Q11" s="110"/>
      <c r="R11" s="110"/>
      <c r="S11" s="110"/>
      <c r="T11" s="110"/>
      <c r="U11" s="110"/>
      <c r="V11" s="110"/>
      <c r="W11" s="110"/>
      <c r="X11" s="110"/>
      <c r="Y11" s="110"/>
      <c r="Z11" s="110"/>
      <c r="AA11" s="110"/>
      <c r="AB11" s="110"/>
      <c r="AC11" s="110"/>
      <c r="AD11" s="110"/>
      <c r="AE11" s="111"/>
      <c r="AF11" s="126" t="s">
        <v>276</v>
      </c>
      <c r="AG11" s="127" t="s">
        <v>277</v>
      </c>
      <c r="AH11" s="125" t="s">
        <v>278</v>
      </c>
      <c r="AI11" s="125"/>
      <c r="AJ11" s="125"/>
      <c r="AK11" s="125"/>
      <c r="AL11" s="125"/>
      <c r="AM11" s="125"/>
      <c r="AN11" s="125"/>
      <c r="AO11" s="125"/>
      <c r="AP11" s="125"/>
      <c r="AQ11" s="125"/>
      <c r="AR11" s="125"/>
      <c r="AS11" s="125"/>
      <c r="AT11" s="125"/>
      <c r="AU11" s="125"/>
      <c r="AV11" s="125"/>
    </row>
    <row r="12" spans="1:48" ht="22.5" customHeight="1">
      <c r="A12" s="108"/>
      <c r="B12" s="91"/>
      <c r="C12" s="82"/>
      <c r="D12" s="82"/>
      <c r="E12" s="91" t="s">
        <v>5</v>
      </c>
      <c r="F12" s="91"/>
      <c r="G12" s="91"/>
      <c r="H12" s="91" t="s">
        <v>101</v>
      </c>
      <c r="I12" s="91"/>
      <c r="J12" s="91"/>
      <c r="K12" s="91" t="s">
        <v>102</v>
      </c>
      <c r="L12" s="91"/>
      <c r="M12" s="91"/>
      <c r="N12" s="91" t="s">
        <v>109</v>
      </c>
      <c r="O12" s="91"/>
      <c r="P12" s="91"/>
      <c r="Q12" s="91"/>
      <c r="R12" s="91"/>
      <c r="S12" s="91"/>
      <c r="T12" s="91" t="s">
        <v>293</v>
      </c>
      <c r="U12" s="91"/>
      <c r="V12" s="91"/>
      <c r="W12" s="91" t="s">
        <v>112</v>
      </c>
      <c r="X12" s="91"/>
      <c r="Y12" s="91"/>
      <c r="Z12" s="91" t="s">
        <v>113</v>
      </c>
      <c r="AA12" s="91"/>
      <c r="AB12" s="91"/>
      <c r="AC12" s="91"/>
      <c r="AD12" s="91"/>
      <c r="AE12" s="91"/>
      <c r="AF12" s="126"/>
      <c r="AG12" s="128"/>
      <c r="AH12" s="125" t="s">
        <v>109</v>
      </c>
      <c r="AI12" s="125"/>
      <c r="AJ12" s="125"/>
      <c r="AK12" s="125" t="s">
        <v>111</v>
      </c>
      <c r="AL12" s="125"/>
      <c r="AM12" s="125"/>
      <c r="AN12" s="125" t="s">
        <v>279</v>
      </c>
      <c r="AO12" s="125"/>
      <c r="AP12" s="125"/>
      <c r="AQ12" s="125" t="s">
        <v>280</v>
      </c>
      <c r="AR12" s="125"/>
      <c r="AS12" s="125"/>
      <c r="AT12" s="125"/>
      <c r="AU12" s="125"/>
      <c r="AV12" s="125"/>
    </row>
    <row r="13" spans="1:48" ht="23.25" customHeight="1">
      <c r="A13" s="108"/>
      <c r="B13" s="91"/>
      <c r="C13" s="82"/>
      <c r="D13" s="82"/>
      <c r="E13" s="91"/>
      <c r="F13" s="91"/>
      <c r="G13" s="91"/>
      <c r="H13" s="91"/>
      <c r="I13" s="91"/>
      <c r="J13" s="91"/>
      <c r="K13" s="91"/>
      <c r="L13" s="91"/>
      <c r="M13" s="91"/>
      <c r="N13" s="91" t="s">
        <v>6</v>
      </c>
      <c r="O13" s="91"/>
      <c r="P13" s="91"/>
      <c r="Q13" s="91" t="s">
        <v>110</v>
      </c>
      <c r="R13" s="91"/>
      <c r="S13" s="91"/>
      <c r="T13" s="91" t="s">
        <v>106</v>
      </c>
      <c r="U13" s="91" t="s">
        <v>107</v>
      </c>
      <c r="V13" s="91" t="s">
        <v>108</v>
      </c>
      <c r="W13" s="91" t="s">
        <v>106</v>
      </c>
      <c r="X13" s="91" t="s">
        <v>107</v>
      </c>
      <c r="Y13" s="91" t="s">
        <v>108</v>
      </c>
      <c r="Z13" s="91" t="s">
        <v>114</v>
      </c>
      <c r="AA13" s="91"/>
      <c r="AB13" s="91"/>
      <c r="AC13" s="91" t="s">
        <v>115</v>
      </c>
      <c r="AD13" s="91"/>
      <c r="AE13" s="91"/>
      <c r="AF13" s="126"/>
      <c r="AG13" s="128"/>
      <c r="AH13" s="125"/>
      <c r="AI13" s="125"/>
      <c r="AJ13" s="125"/>
      <c r="AK13" s="125"/>
      <c r="AL13" s="125"/>
      <c r="AM13" s="125"/>
      <c r="AN13" s="125"/>
      <c r="AO13" s="125"/>
      <c r="AP13" s="125"/>
      <c r="AQ13" s="125"/>
      <c r="AR13" s="125"/>
      <c r="AS13" s="125"/>
      <c r="AT13" s="125"/>
      <c r="AU13" s="125"/>
      <c r="AV13" s="125"/>
    </row>
    <row r="14" spans="1:48" ht="15" customHeight="1">
      <c r="A14" s="108"/>
      <c r="B14" s="91"/>
      <c r="C14" s="82"/>
      <c r="D14" s="82"/>
      <c r="E14" s="91" t="s">
        <v>103</v>
      </c>
      <c r="F14" s="91" t="s">
        <v>104</v>
      </c>
      <c r="G14" s="91" t="s">
        <v>105</v>
      </c>
      <c r="H14" s="91" t="s">
        <v>103</v>
      </c>
      <c r="I14" s="91" t="s">
        <v>104</v>
      </c>
      <c r="J14" s="91" t="s">
        <v>105</v>
      </c>
      <c r="K14" s="91" t="s">
        <v>103</v>
      </c>
      <c r="L14" s="91" t="s">
        <v>104</v>
      </c>
      <c r="M14" s="91" t="s">
        <v>105</v>
      </c>
      <c r="N14" s="91" t="s">
        <v>106</v>
      </c>
      <c r="O14" s="91" t="s">
        <v>107</v>
      </c>
      <c r="P14" s="91" t="s">
        <v>108</v>
      </c>
      <c r="Q14" s="91" t="s">
        <v>106</v>
      </c>
      <c r="R14" s="91" t="s">
        <v>107</v>
      </c>
      <c r="S14" s="91" t="s">
        <v>108</v>
      </c>
      <c r="T14" s="91"/>
      <c r="U14" s="91"/>
      <c r="V14" s="91"/>
      <c r="W14" s="91"/>
      <c r="X14" s="91"/>
      <c r="Y14" s="91"/>
      <c r="Z14" s="91" t="s">
        <v>106</v>
      </c>
      <c r="AA14" s="91" t="s">
        <v>107</v>
      </c>
      <c r="AB14" s="91" t="s">
        <v>108</v>
      </c>
      <c r="AC14" s="91" t="s">
        <v>106</v>
      </c>
      <c r="AD14" s="91" t="s">
        <v>107</v>
      </c>
      <c r="AE14" s="91" t="s">
        <v>108</v>
      </c>
      <c r="AF14" s="126"/>
      <c r="AG14" s="128"/>
      <c r="AH14" s="125" t="s">
        <v>6</v>
      </c>
      <c r="AI14" s="125"/>
      <c r="AJ14" s="125"/>
      <c r="AK14" s="125" t="s">
        <v>106</v>
      </c>
      <c r="AL14" s="125" t="s">
        <v>107</v>
      </c>
      <c r="AM14" s="125" t="s">
        <v>108</v>
      </c>
      <c r="AN14" s="125" t="s">
        <v>106</v>
      </c>
      <c r="AO14" s="125" t="s">
        <v>107</v>
      </c>
      <c r="AP14" s="125" t="s">
        <v>108</v>
      </c>
      <c r="AQ14" s="125" t="s">
        <v>281</v>
      </c>
      <c r="AR14" s="125"/>
      <c r="AS14" s="125"/>
      <c r="AT14" s="125" t="s">
        <v>282</v>
      </c>
      <c r="AU14" s="125"/>
      <c r="AV14" s="125"/>
    </row>
    <row r="15" spans="1:48" ht="15">
      <c r="A15" s="108"/>
      <c r="B15" s="91"/>
      <c r="C15" s="82"/>
      <c r="D15" s="82"/>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126"/>
      <c r="AG15" s="128"/>
      <c r="AH15" s="125" t="s">
        <v>106</v>
      </c>
      <c r="AI15" s="125" t="s">
        <v>107</v>
      </c>
      <c r="AJ15" s="125" t="s">
        <v>108</v>
      </c>
      <c r="AK15" s="125"/>
      <c r="AL15" s="125"/>
      <c r="AM15" s="125"/>
      <c r="AN15" s="125"/>
      <c r="AO15" s="125"/>
      <c r="AP15" s="125"/>
      <c r="AQ15" s="125" t="s">
        <v>106</v>
      </c>
      <c r="AR15" s="125" t="s">
        <v>107</v>
      </c>
      <c r="AS15" s="125" t="s">
        <v>108</v>
      </c>
      <c r="AT15" s="125" t="s">
        <v>106</v>
      </c>
      <c r="AU15" s="125" t="s">
        <v>107</v>
      </c>
      <c r="AV15" s="125" t="s">
        <v>108</v>
      </c>
    </row>
    <row r="16" spans="1:48" ht="15">
      <c r="A16" s="108"/>
      <c r="B16" s="91"/>
      <c r="C16" s="82"/>
      <c r="D16" s="82"/>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126"/>
      <c r="AG16" s="128"/>
      <c r="AH16" s="125"/>
      <c r="AI16" s="125"/>
      <c r="AJ16" s="125"/>
      <c r="AK16" s="125"/>
      <c r="AL16" s="125"/>
      <c r="AM16" s="125"/>
      <c r="AN16" s="125"/>
      <c r="AO16" s="125"/>
      <c r="AP16" s="125"/>
      <c r="AQ16" s="125"/>
      <c r="AR16" s="125"/>
      <c r="AS16" s="125"/>
      <c r="AT16" s="125"/>
      <c r="AU16" s="125"/>
      <c r="AV16" s="125"/>
    </row>
    <row r="17" spans="1:48" ht="15">
      <c r="A17" s="108"/>
      <c r="B17" s="91"/>
      <c r="C17" s="83"/>
      <c r="D17" s="83"/>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126"/>
      <c r="AG17" s="129"/>
      <c r="AH17" s="125"/>
      <c r="AI17" s="125"/>
      <c r="AJ17" s="125"/>
      <c r="AK17" s="125"/>
      <c r="AL17" s="125"/>
      <c r="AM17" s="125"/>
      <c r="AN17" s="125"/>
      <c r="AO17" s="125"/>
      <c r="AP17" s="125"/>
      <c r="AQ17" s="125"/>
      <c r="AR17" s="125"/>
      <c r="AS17" s="125"/>
      <c r="AT17" s="125"/>
      <c r="AU17" s="125"/>
      <c r="AV17" s="125"/>
    </row>
    <row r="18" spans="1:48" ht="15">
      <c r="A18" s="4">
        <v>1</v>
      </c>
      <c r="B18" s="4">
        <v>2</v>
      </c>
      <c r="C18" s="4">
        <v>20</v>
      </c>
      <c r="D18" s="4">
        <v>21</v>
      </c>
      <c r="E18" s="51">
        <v>3</v>
      </c>
      <c r="F18" s="51">
        <v>4</v>
      </c>
      <c r="G18" s="51">
        <v>5</v>
      </c>
      <c r="H18" s="51">
        <v>6</v>
      </c>
      <c r="I18" s="51">
        <v>7</v>
      </c>
      <c r="J18" s="51">
        <v>8</v>
      </c>
      <c r="K18" s="51">
        <v>9</v>
      </c>
      <c r="L18" s="51">
        <v>10</v>
      </c>
      <c r="M18" s="51">
        <v>11</v>
      </c>
      <c r="N18" s="4">
        <v>12</v>
      </c>
      <c r="O18" s="4">
        <v>13</v>
      </c>
      <c r="P18" s="4">
        <v>14</v>
      </c>
      <c r="Q18" s="4">
        <v>15</v>
      </c>
      <c r="R18" s="4">
        <v>16</v>
      </c>
      <c r="S18" s="4">
        <v>17</v>
      </c>
      <c r="T18" s="4">
        <v>18</v>
      </c>
      <c r="U18" s="4">
        <v>19</v>
      </c>
      <c r="V18" s="4">
        <v>20</v>
      </c>
      <c r="W18" s="4">
        <v>21</v>
      </c>
      <c r="X18" s="4">
        <v>22</v>
      </c>
      <c r="Y18" s="4">
        <v>23</v>
      </c>
      <c r="Z18" s="4">
        <v>24</v>
      </c>
      <c r="AA18" s="4">
        <v>25</v>
      </c>
      <c r="AB18" s="4">
        <v>26</v>
      </c>
      <c r="AC18" s="4">
        <v>24</v>
      </c>
      <c r="AD18" s="4">
        <v>25</v>
      </c>
      <c r="AE18" s="4">
        <v>26</v>
      </c>
      <c r="AF18" s="61">
        <v>27</v>
      </c>
      <c r="AG18" s="61">
        <v>28</v>
      </c>
      <c r="AH18" s="71">
        <v>29</v>
      </c>
      <c r="AI18" s="71">
        <v>30</v>
      </c>
      <c r="AJ18" s="71">
        <v>31</v>
      </c>
      <c r="AK18" s="71">
        <v>32</v>
      </c>
      <c r="AL18" s="71">
        <v>33</v>
      </c>
      <c r="AM18" s="71">
        <v>34</v>
      </c>
      <c r="AN18" s="71">
        <v>35</v>
      </c>
      <c r="AO18" s="71">
        <v>36</v>
      </c>
      <c r="AP18" s="71">
        <v>37</v>
      </c>
      <c r="AQ18" s="71">
        <v>38</v>
      </c>
      <c r="AR18" s="71">
        <v>39</v>
      </c>
      <c r="AS18" s="71">
        <v>40</v>
      </c>
      <c r="AT18" s="71">
        <v>41</v>
      </c>
      <c r="AU18" s="71">
        <v>42</v>
      </c>
      <c r="AV18" s="71">
        <v>43</v>
      </c>
    </row>
    <row r="19" spans="1:48" ht="53.25" customHeight="1">
      <c r="A19" s="12" t="s">
        <v>7</v>
      </c>
      <c r="B19" s="4">
        <v>2100</v>
      </c>
      <c r="C19" s="3"/>
      <c r="D19" s="3"/>
      <c r="E19" s="52"/>
      <c r="F19" s="52"/>
      <c r="G19" s="52"/>
      <c r="H19" s="52"/>
      <c r="I19" s="52"/>
      <c r="J19" s="52"/>
      <c r="K19" s="52"/>
      <c r="L19" s="52"/>
      <c r="M19" s="52"/>
      <c r="N19" s="14">
        <f aca="true" t="shared" si="0" ref="N19:AB19">SUM(N20+N189+N263+N277)</f>
        <v>1392935.6400000001</v>
      </c>
      <c r="O19" s="14">
        <f t="shared" si="0"/>
        <v>188179.50000000003</v>
      </c>
      <c r="P19" s="14">
        <f t="shared" si="0"/>
        <v>700900.8999999999</v>
      </c>
      <c r="Q19" s="14">
        <f t="shared" si="0"/>
        <v>1361175.1400000001</v>
      </c>
      <c r="R19" s="14">
        <f t="shared" si="0"/>
        <v>183519.50000000003</v>
      </c>
      <c r="S19" s="14">
        <f t="shared" si="0"/>
        <v>699161.0999999999</v>
      </c>
      <c r="T19" s="14">
        <f t="shared" si="0"/>
        <v>1291202.7000000002</v>
      </c>
      <c r="U19" s="14">
        <f t="shared" si="0"/>
        <v>117651.09999999999</v>
      </c>
      <c r="V19" s="14">
        <f t="shared" si="0"/>
        <v>706221.7999999999</v>
      </c>
      <c r="W19" s="14">
        <f t="shared" si="0"/>
        <v>1216348.2</v>
      </c>
      <c r="X19" s="14">
        <f t="shared" si="0"/>
        <v>53987.70000000001</v>
      </c>
      <c r="Y19" s="14">
        <f t="shared" si="0"/>
        <v>732046.2000000001</v>
      </c>
      <c r="Z19" s="14">
        <f t="shared" si="0"/>
        <v>1218538.4</v>
      </c>
      <c r="AA19" s="14">
        <f t="shared" si="0"/>
        <v>41214.2</v>
      </c>
      <c r="AB19" s="14">
        <f t="shared" si="0"/>
        <v>747522</v>
      </c>
      <c r="AC19" s="14">
        <f>SUM(AC20+AC189+AC263+AC277)</f>
        <v>1218538.4</v>
      </c>
      <c r="AD19" s="14">
        <f>SUM(AD20+AD189+AD263+AD277)</f>
        <v>41214.2</v>
      </c>
      <c r="AE19" s="14">
        <f>SUM(AE20+AE189+AE263+AE277)</f>
        <v>747522</v>
      </c>
      <c r="AF19" s="12"/>
      <c r="AG19" s="58"/>
      <c r="AH19" s="14">
        <f aca="true" t="shared" si="1" ref="AH19:AS19">SUM(AH20+AH189+AH263+AH277)</f>
        <v>1392935.6400000001</v>
      </c>
      <c r="AI19" s="14">
        <f t="shared" si="1"/>
        <v>188179.50000000003</v>
      </c>
      <c r="AJ19" s="14">
        <f t="shared" si="1"/>
        <v>700900.8999999999</v>
      </c>
      <c r="AK19" s="14">
        <f t="shared" si="1"/>
        <v>1291202.7000000002</v>
      </c>
      <c r="AL19" s="14">
        <f t="shared" si="1"/>
        <v>117651.09999999999</v>
      </c>
      <c r="AM19" s="14">
        <f t="shared" si="1"/>
        <v>706221.7999999999</v>
      </c>
      <c r="AN19" s="14">
        <f t="shared" si="1"/>
        <v>1216348.2</v>
      </c>
      <c r="AO19" s="14">
        <f t="shared" si="1"/>
        <v>53987.70000000001</v>
      </c>
      <c r="AP19" s="14">
        <f t="shared" si="1"/>
        <v>732046.2000000001</v>
      </c>
      <c r="AQ19" s="14">
        <f t="shared" si="1"/>
        <v>1218538.4</v>
      </c>
      <c r="AR19" s="14">
        <f t="shared" si="1"/>
        <v>41214.2</v>
      </c>
      <c r="AS19" s="14">
        <f t="shared" si="1"/>
        <v>747522</v>
      </c>
      <c r="AT19" s="14">
        <f>SUM(AT20+AT189+AT263+AT277)</f>
        <v>1218538.4</v>
      </c>
      <c r="AU19" s="14">
        <f>SUM(AU20+AU189+AU263+AU277)</f>
        <v>41214.2</v>
      </c>
      <c r="AV19" s="14">
        <f>SUM(AV20+AV189+AV263+AV277)</f>
        <v>747522</v>
      </c>
    </row>
    <row r="20" spans="1:48" ht="67.5" customHeight="1">
      <c r="A20" s="12" t="s">
        <v>8</v>
      </c>
      <c r="B20" s="4">
        <v>2101</v>
      </c>
      <c r="C20" s="3"/>
      <c r="D20" s="3"/>
      <c r="E20" s="52"/>
      <c r="F20" s="52"/>
      <c r="G20" s="52"/>
      <c r="H20" s="52"/>
      <c r="I20" s="52"/>
      <c r="J20" s="52"/>
      <c r="K20" s="52"/>
      <c r="L20" s="52"/>
      <c r="M20" s="52"/>
      <c r="N20" s="14">
        <f aca="true" t="shared" si="2" ref="N20:AB20">SUM(N21+N35+N46+N50+N55+N70+N73+N79+N116+N119+N126+N129+N138+N144+N148+N152+N155+N165+N173+N182+N186+N188+N76+N158+N66)</f>
        <v>775964.4400000001</v>
      </c>
      <c r="O20" s="14">
        <f t="shared" si="2"/>
        <v>174843.90000000002</v>
      </c>
      <c r="P20" s="14">
        <f t="shared" si="2"/>
        <v>287977.5999999999</v>
      </c>
      <c r="Q20" s="14">
        <f t="shared" si="2"/>
        <v>759701.5400000002</v>
      </c>
      <c r="R20" s="14">
        <f>SUM(R21+R35+R46+R50+R55+R70+R73+R79+R116+R119+R126+R129+R138+R144+R148+R152+R155+R165+R173+R182+R186+R188+R76+R158+R66)</f>
        <v>170320.60000000003</v>
      </c>
      <c r="S20" s="14">
        <f t="shared" si="2"/>
        <v>287388.29999999993</v>
      </c>
      <c r="T20" s="14">
        <f t="shared" si="2"/>
        <v>683843.8</v>
      </c>
      <c r="U20" s="14">
        <f t="shared" si="2"/>
        <v>105154.59999999999</v>
      </c>
      <c r="V20" s="14">
        <f t="shared" si="2"/>
        <v>285235.69999999995</v>
      </c>
      <c r="W20" s="14">
        <f t="shared" si="2"/>
        <v>596145.8999999999</v>
      </c>
      <c r="X20" s="14">
        <f t="shared" si="2"/>
        <v>39927.200000000004</v>
      </c>
      <c r="Y20" s="14">
        <f t="shared" si="2"/>
        <v>301510.50000000006</v>
      </c>
      <c r="Z20" s="14">
        <f t="shared" si="2"/>
        <v>586746.9</v>
      </c>
      <c r="AA20" s="14">
        <f t="shared" si="2"/>
        <v>27231.5</v>
      </c>
      <c r="AB20" s="14">
        <f t="shared" si="2"/>
        <v>305597.3</v>
      </c>
      <c r="AC20" s="14">
        <f>SUM(AC21+AC35+AC46+AC50+AC55+AC70+AC73+AC79+AC116+AC119+AC126+AC129+AC138+AC144+AC148+AC152+AC155+AC165+AC173+AC182+AC186+AC188+AC76+AC158+AC66)</f>
        <v>586746.9</v>
      </c>
      <c r="AD20" s="14">
        <f>SUM(AD21+AD35+AD46+AD50+AD55+AD70+AD73+AD79+AD116+AD119+AD126+AD129+AD138+AD144+AD148+AD152+AD155+AD165+AD173+AD182+AD186+AD188+AD76+AD158+AD66)</f>
        <v>27231.5</v>
      </c>
      <c r="AE20" s="14">
        <f>SUM(AE21+AE35+AE46+AE50+AE55+AE70+AE73+AE79+AE116+AE119+AE126+AE129+AE138+AE144+AE148+AE152+AE155+AE165+AE173+AE182+AE186+AE188+AE76+AE158+AE66)</f>
        <v>305597.3</v>
      </c>
      <c r="AF20" s="12"/>
      <c r="AG20" s="58"/>
      <c r="AH20" s="14">
        <f aca="true" t="shared" si="3" ref="AH20:AS20">SUM(AH21+AH35+AH46+AH50+AH55+AH70+AH73+AH79+AH116+AH119+AH126+AH129+AH138+AH144+AH148+AH152+AH155+AH165+AH173+AH182+AH186+AH188+AH76+AH158+AH66)</f>
        <v>775964.4400000001</v>
      </c>
      <c r="AI20" s="14">
        <f t="shared" si="3"/>
        <v>174843.90000000002</v>
      </c>
      <c r="AJ20" s="14">
        <f t="shared" si="3"/>
        <v>287977.5999999999</v>
      </c>
      <c r="AK20" s="14">
        <f t="shared" si="3"/>
        <v>683843.8</v>
      </c>
      <c r="AL20" s="14">
        <f t="shared" si="3"/>
        <v>105154.59999999999</v>
      </c>
      <c r="AM20" s="14">
        <f t="shared" si="3"/>
        <v>285235.69999999995</v>
      </c>
      <c r="AN20" s="14">
        <f t="shared" si="3"/>
        <v>596145.8999999999</v>
      </c>
      <c r="AO20" s="14">
        <f t="shared" si="3"/>
        <v>39927.200000000004</v>
      </c>
      <c r="AP20" s="14">
        <f t="shared" si="3"/>
        <v>301510.50000000006</v>
      </c>
      <c r="AQ20" s="14">
        <f t="shared" si="3"/>
        <v>586746.9</v>
      </c>
      <c r="AR20" s="14">
        <f t="shared" si="3"/>
        <v>27231.5</v>
      </c>
      <c r="AS20" s="14">
        <f t="shared" si="3"/>
        <v>305597.3</v>
      </c>
      <c r="AT20" s="14">
        <f>SUM(AT21+AT35+AT46+AT50+AT55+AT70+AT73+AT79+AT116+AT119+AT126+AT129+AT138+AT144+AT148+AT152+AT155+AT165+AT173+AT182+AT186+AT188+AT76+AT158+AT66)</f>
        <v>586746.9</v>
      </c>
      <c r="AU20" s="14">
        <f>SUM(AU21+AU35+AU46+AU50+AU55+AU70+AU73+AU79+AU116+AU119+AU126+AU129+AU138+AU144+AU148+AU152+AU155+AU165+AU173+AU182+AU186+AU188+AU76+AU158+AU66)</f>
        <v>27231.5</v>
      </c>
      <c r="AV20" s="14">
        <f>SUM(AV21+AV35+AV46+AV50+AV55+AV70+AV73+AV79+AV116+AV119+AV126+AV129+AV138+AV144+AV148+AV152+AV155+AV165+AV173+AV182+AV186+AV188+AV76+AV158+AV66)</f>
        <v>305597.3</v>
      </c>
    </row>
    <row r="21" spans="1:48" ht="16.5" customHeight="1">
      <c r="A21" s="12"/>
      <c r="B21" s="4"/>
      <c r="C21" s="3"/>
      <c r="D21" s="3"/>
      <c r="E21" s="52"/>
      <c r="F21" s="52"/>
      <c r="G21" s="52"/>
      <c r="H21" s="52"/>
      <c r="I21" s="52"/>
      <c r="J21" s="52"/>
      <c r="K21" s="52"/>
      <c r="L21" s="52"/>
      <c r="M21" s="52"/>
      <c r="N21" s="3">
        <f aca="true" t="shared" si="4" ref="N21:AB21">SUM(N22:N34)</f>
        <v>13169.2</v>
      </c>
      <c r="O21" s="3">
        <f t="shared" si="4"/>
        <v>87.9</v>
      </c>
      <c r="P21" s="3">
        <f t="shared" si="4"/>
        <v>10962.699999999999</v>
      </c>
      <c r="Q21" s="3">
        <f t="shared" si="4"/>
        <v>12612.900000000001</v>
      </c>
      <c r="R21" s="3">
        <f t="shared" si="4"/>
        <v>87.9</v>
      </c>
      <c r="S21" s="3">
        <f t="shared" si="4"/>
        <v>10962.699999999999</v>
      </c>
      <c r="T21" s="3">
        <f t="shared" si="4"/>
        <v>19338.9</v>
      </c>
      <c r="U21" s="3">
        <f t="shared" si="4"/>
        <v>0</v>
      </c>
      <c r="V21" s="3">
        <f t="shared" si="4"/>
        <v>11145.7</v>
      </c>
      <c r="W21" s="3">
        <f t="shared" si="4"/>
        <v>19672</v>
      </c>
      <c r="X21" s="3">
        <f t="shared" si="4"/>
        <v>0</v>
      </c>
      <c r="Y21" s="3">
        <f t="shared" si="4"/>
        <v>11778.800000000001</v>
      </c>
      <c r="Z21" s="3">
        <f>SUM(Z22:Z34)</f>
        <v>19672</v>
      </c>
      <c r="AA21" s="3">
        <f t="shared" si="4"/>
        <v>0</v>
      </c>
      <c r="AB21" s="3">
        <f t="shared" si="4"/>
        <v>11778.800000000001</v>
      </c>
      <c r="AC21" s="3">
        <f>SUM(AC22:AC34)</f>
        <v>19672</v>
      </c>
      <c r="AD21" s="3">
        <f>SUM(AD22:AD34)</f>
        <v>0</v>
      </c>
      <c r="AE21" s="3">
        <f>SUM(AE22:AE34)</f>
        <v>11778.800000000001</v>
      </c>
      <c r="AF21" s="12"/>
      <c r="AG21" s="58"/>
      <c r="AH21" s="26">
        <f aca="true" t="shared" si="5" ref="AH21:AP21">SUM(AH22:AH34)</f>
        <v>13169.2</v>
      </c>
      <c r="AI21" s="26">
        <f t="shared" si="5"/>
        <v>87.9</v>
      </c>
      <c r="AJ21" s="26">
        <f t="shared" si="5"/>
        <v>10962.699999999999</v>
      </c>
      <c r="AK21" s="26">
        <f t="shared" si="5"/>
        <v>19338.9</v>
      </c>
      <c r="AL21" s="26">
        <f t="shared" si="5"/>
        <v>0</v>
      </c>
      <c r="AM21" s="26">
        <f t="shared" si="5"/>
        <v>11145.7</v>
      </c>
      <c r="AN21" s="26">
        <f t="shared" si="5"/>
        <v>19672</v>
      </c>
      <c r="AO21" s="26">
        <f t="shared" si="5"/>
        <v>0</v>
      </c>
      <c r="AP21" s="26">
        <f t="shared" si="5"/>
        <v>11778.800000000001</v>
      </c>
      <c r="AQ21" s="26">
        <f aca="true" t="shared" si="6" ref="AQ21:AV21">SUM(AQ22:AQ34)</f>
        <v>19672</v>
      </c>
      <c r="AR21" s="26">
        <f t="shared" si="6"/>
        <v>0</v>
      </c>
      <c r="AS21" s="26">
        <f t="shared" si="6"/>
        <v>11778.800000000001</v>
      </c>
      <c r="AT21" s="26">
        <f t="shared" si="6"/>
        <v>19672</v>
      </c>
      <c r="AU21" s="26">
        <f t="shared" si="6"/>
        <v>0</v>
      </c>
      <c r="AV21" s="26">
        <f t="shared" si="6"/>
        <v>11778.800000000001</v>
      </c>
    </row>
    <row r="22" spans="1:48" ht="12.75" customHeight="1">
      <c r="A22" s="12" t="s">
        <v>9</v>
      </c>
      <c r="B22" s="91">
        <v>2102</v>
      </c>
      <c r="C22" s="122" t="s">
        <v>90</v>
      </c>
      <c r="D22" s="95">
        <v>121</v>
      </c>
      <c r="E22" s="84" t="s">
        <v>165</v>
      </c>
      <c r="F22" s="87" t="s">
        <v>158</v>
      </c>
      <c r="G22" s="87" t="s">
        <v>159</v>
      </c>
      <c r="H22" s="81"/>
      <c r="I22" s="91"/>
      <c r="J22" s="87"/>
      <c r="K22" s="84" t="s">
        <v>123</v>
      </c>
      <c r="L22" s="91" t="s">
        <v>124</v>
      </c>
      <c r="M22" s="90">
        <v>42599</v>
      </c>
      <c r="N22" s="95">
        <f>1079.2+820.5</f>
        <v>1899.7</v>
      </c>
      <c r="O22" s="95"/>
      <c r="P22" s="95">
        <f>1079.2+820.5</f>
        <v>1899.7</v>
      </c>
      <c r="Q22" s="3">
        <f>1079.2+820.5</f>
        <v>1899.7</v>
      </c>
      <c r="R22" s="3"/>
      <c r="S22" s="3">
        <f>1079.2+820.5</f>
        <v>1899.7</v>
      </c>
      <c r="T22" s="95">
        <f>1121.7+824.7</f>
        <v>1946.4</v>
      </c>
      <c r="U22" s="3"/>
      <c r="V22" s="95">
        <f>1121.7+824.7</f>
        <v>1946.4</v>
      </c>
      <c r="W22" s="95">
        <f>1157.3+849.2</f>
        <v>2006.5</v>
      </c>
      <c r="X22" s="3"/>
      <c r="Y22" s="95">
        <f>1157.3+849.2</f>
        <v>2006.5</v>
      </c>
      <c r="Z22" s="95">
        <f>1157.3+849.2</f>
        <v>2006.5</v>
      </c>
      <c r="AA22" s="3"/>
      <c r="AB22" s="95">
        <f>1157.3+849.2</f>
        <v>2006.5</v>
      </c>
      <c r="AC22" s="95">
        <f>1157.3+849.2</f>
        <v>2006.5</v>
      </c>
      <c r="AD22" s="3"/>
      <c r="AE22" s="95">
        <f>1157.3+849.2</f>
        <v>2006.5</v>
      </c>
      <c r="AF22" s="130" t="s">
        <v>283</v>
      </c>
      <c r="AG22" s="130" t="s">
        <v>286</v>
      </c>
      <c r="AH22" s="95">
        <f>1079.2+820.5</f>
        <v>1899.7</v>
      </c>
      <c r="AI22" s="95"/>
      <c r="AJ22" s="95">
        <f>1079.2+820.5</f>
        <v>1899.7</v>
      </c>
      <c r="AK22" s="95">
        <f>1121.7+824.7</f>
        <v>1946.4</v>
      </c>
      <c r="AL22" s="26"/>
      <c r="AM22" s="95">
        <f>1121.7+824.7</f>
        <v>1946.4</v>
      </c>
      <c r="AN22" s="95">
        <f>1157.3+849.2</f>
        <v>2006.5</v>
      </c>
      <c r="AO22" s="26"/>
      <c r="AP22" s="95">
        <f>1157.3+849.2</f>
        <v>2006.5</v>
      </c>
      <c r="AQ22" s="95">
        <f>1157.3+849.2</f>
        <v>2006.5</v>
      </c>
      <c r="AR22" s="26"/>
      <c r="AS22" s="95">
        <f>1157.3+849.2</f>
        <v>2006.5</v>
      </c>
      <c r="AT22" s="95">
        <f>1157.3+849.2</f>
        <v>2006.5</v>
      </c>
      <c r="AU22" s="26"/>
      <c r="AV22" s="95">
        <f>1157.3+849.2</f>
        <v>2006.5</v>
      </c>
    </row>
    <row r="23" spans="1:48" ht="4.5" customHeight="1" hidden="1">
      <c r="A23" s="84" t="s">
        <v>32</v>
      </c>
      <c r="B23" s="91"/>
      <c r="C23" s="122"/>
      <c r="D23" s="95"/>
      <c r="E23" s="84"/>
      <c r="F23" s="87"/>
      <c r="G23" s="87"/>
      <c r="H23" s="82"/>
      <c r="I23" s="91"/>
      <c r="J23" s="87"/>
      <c r="K23" s="84"/>
      <c r="L23" s="91"/>
      <c r="M23" s="90"/>
      <c r="N23" s="95"/>
      <c r="O23" s="95"/>
      <c r="P23" s="95"/>
      <c r="Q23" s="3"/>
      <c r="R23" s="3"/>
      <c r="S23" s="3"/>
      <c r="T23" s="95"/>
      <c r="U23" s="3"/>
      <c r="V23" s="95"/>
      <c r="W23" s="95"/>
      <c r="X23" s="3"/>
      <c r="Y23" s="95"/>
      <c r="Z23" s="95"/>
      <c r="AA23" s="3"/>
      <c r="AB23" s="95"/>
      <c r="AC23" s="95"/>
      <c r="AD23" s="3"/>
      <c r="AE23" s="95"/>
      <c r="AF23" s="131"/>
      <c r="AG23" s="131"/>
      <c r="AH23" s="95"/>
      <c r="AI23" s="95"/>
      <c r="AJ23" s="95"/>
      <c r="AK23" s="95"/>
      <c r="AL23" s="26"/>
      <c r="AM23" s="95"/>
      <c r="AN23" s="95"/>
      <c r="AO23" s="26"/>
      <c r="AP23" s="95"/>
      <c r="AQ23" s="95"/>
      <c r="AR23" s="26"/>
      <c r="AS23" s="95"/>
      <c r="AT23" s="95"/>
      <c r="AU23" s="26"/>
      <c r="AV23" s="95"/>
    </row>
    <row r="24" spans="1:48" ht="15" customHeight="1">
      <c r="A24" s="84"/>
      <c r="B24" s="91"/>
      <c r="C24" s="10" t="s">
        <v>90</v>
      </c>
      <c r="D24" s="3">
        <v>122</v>
      </c>
      <c r="E24" s="84"/>
      <c r="F24" s="87"/>
      <c r="G24" s="87"/>
      <c r="H24" s="82"/>
      <c r="I24" s="91"/>
      <c r="J24" s="87"/>
      <c r="K24" s="84"/>
      <c r="L24" s="91"/>
      <c r="M24" s="90"/>
      <c r="N24" s="3">
        <f>1.8</f>
        <v>1.8</v>
      </c>
      <c r="O24" s="3"/>
      <c r="P24" s="3"/>
      <c r="Q24" s="3">
        <f>1.8</f>
        <v>1.8</v>
      </c>
      <c r="R24" s="3"/>
      <c r="S24" s="3"/>
      <c r="T24" s="3">
        <f>40.5+62.8</f>
        <v>103.3</v>
      </c>
      <c r="U24" s="3"/>
      <c r="V24" s="3"/>
      <c r="W24" s="3">
        <f>40.5+62.8</f>
        <v>103.3</v>
      </c>
      <c r="X24" s="3"/>
      <c r="Y24" s="3"/>
      <c r="Z24" s="3">
        <f>40.5+62.8</f>
        <v>103.3</v>
      </c>
      <c r="AA24" s="3"/>
      <c r="AB24" s="3"/>
      <c r="AC24" s="3">
        <f>40.5+62.8</f>
        <v>103.3</v>
      </c>
      <c r="AD24" s="3"/>
      <c r="AE24" s="3"/>
      <c r="AF24" s="131"/>
      <c r="AG24" s="131"/>
      <c r="AH24" s="26">
        <f>1.8</f>
        <v>1.8</v>
      </c>
      <c r="AI24" s="26"/>
      <c r="AJ24" s="26"/>
      <c r="AK24" s="26">
        <f>40.5+62.8</f>
        <v>103.3</v>
      </c>
      <c r="AL24" s="26"/>
      <c r="AM24" s="26"/>
      <c r="AN24" s="26">
        <f>40.5+62.8</f>
        <v>103.3</v>
      </c>
      <c r="AO24" s="26"/>
      <c r="AP24" s="26"/>
      <c r="AQ24" s="26">
        <f>40.5+62.8</f>
        <v>103.3</v>
      </c>
      <c r="AR24" s="26"/>
      <c r="AS24" s="26"/>
      <c r="AT24" s="26">
        <f>40.5+62.8</f>
        <v>103.3</v>
      </c>
      <c r="AU24" s="26"/>
      <c r="AV24" s="26"/>
    </row>
    <row r="25" spans="1:48" ht="17.25" customHeight="1">
      <c r="A25" s="84"/>
      <c r="B25" s="91"/>
      <c r="C25" s="10" t="s">
        <v>90</v>
      </c>
      <c r="D25" s="3">
        <v>129</v>
      </c>
      <c r="E25" s="84"/>
      <c r="F25" s="87"/>
      <c r="G25" s="87"/>
      <c r="H25" s="82"/>
      <c r="I25" s="91"/>
      <c r="J25" s="87"/>
      <c r="K25" s="84"/>
      <c r="L25" s="91"/>
      <c r="M25" s="90"/>
      <c r="N25" s="3">
        <f>345.3+242.2</f>
        <v>587.5</v>
      </c>
      <c r="O25" s="3"/>
      <c r="P25" s="3">
        <f>345.3+242.2</f>
        <v>587.5</v>
      </c>
      <c r="Q25" s="3">
        <f>345.3+242.2</f>
        <v>587.5</v>
      </c>
      <c r="R25" s="3"/>
      <c r="S25" s="3">
        <f>345.3+242.2</f>
        <v>587.5</v>
      </c>
      <c r="T25" s="3">
        <f>336.3+246</f>
        <v>582.3</v>
      </c>
      <c r="U25" s="3"/>
      <c r="V25" s="3">
        <f>336.3+246</f>
        <v>582.3</v>
      </c>
      <c r="W25" s="3">
        <f>347.1+252.6</f>
        <v>599.7</v>
      </c>
      <c r="X25" s="3"/>
      <c r="Y25" s="3">
        <f>347.1+252.6</f>
        <v>599.7</v>
      </c>
      <c r="Z25" s="3">
        <f>347.1+252.6</f>
        <v>599.7</v>
      </c>
      <c r="AA25" s="3"/>
      <c r="AB25" s="3">
        <f>347.1+252.6</f>
        <v>599.7</v>
      </c>
      <c r="AC25" s="3">
        <f>347.1+252.6</f>
        <v>599.7</v>
      </c>
      <c r="AD25" s="3"/>
      <c r="AE25" s="3">
        <f>347.1+252.6</f>
        <v>599.7</v>
      </c>
      <c r="AF25" s="131"/>
      <c r="AG25" s="131"/>
      <c r="AH25" s="26">
        <f>345.3+242.2</f>
        <v>587.5</v>
      </c>
      <c r="AI25" s="26"/>
      <c r="AJ25" s="26">
        <f>345.3+242.2</f>
        <v>587.5</v>
      </c>
      <c r="AK25" s="26">
        <f>336.3+246</f>
        <v>582.3</v>
      </c>
      <c r="AL25" s="26"/>
      <c r="AM25" s="26">
        <f>336.3+246</f>
        <v>582.3</v>
      </c>
      <c r="AN25" s="26">
        <f>347.1+252.6</f>
        <v>599.7</v>
      </c>
      <c r="AO25" s="26"/>
      <c r="AP25" s="26">
        <f>347.1+252.6</f>
        <v>599.7</v>
      </c>
      <c r="AQ25" s="26">
        <f>347.1+252.6</f>
        <v>599.7</v>
      </c>
      <c r="AR25" s="26"/>
      <c r="AS25" s="26">
        <f>347.1+252.6</f>
        <v>599.7</v>
      </c>
      <c r="AT25" s="26">
        <f>347.1+252.6</f>
        <v>599.7</v>
      </c>
      <c r="AU25" s="26"/>
      <c r="AV25" s="26">
        <f>347.1+252.6</f>
        <v>599.7</v>
      </c>
    </row>
    <row r="26" spans="1:48" ht="21" customHeight="1">
      <c r="A26" s="84"/>
      <c r="B26" s="91"/>
      <c r="C26" s="10" t="s">
        <v>90</v>
      </c>
      <c r="D26" s="3">
        <v>244</v>
      </c>
      <c r="E26" s="84"/>
      <c r="F26" s="87"/>
      <c r="G26" s="87"/>
      <c r="H26" s="82"/>
      <c r="I26" s="91"/>
      <c r="J26" s="87"/>
      <c r="K26" s="84"/>
      <c r="L26" s="91"/>
      <c r="M26" s="90"/>
      <c r="N26" s="3">
        <f>13.5+1200.1</f>
        <v>1213.6</v>
      </c>
      <c r="O26" s="3">
        <v>87.9</v>
      </c>
      <c r="P26" s="3"/>
      <c r="Q26" s="3">
        <f>13.5+1200.1</f>
        <v>1213.6</v>
      </c>
      <c r="R26" s="3">
        <v>87.9</v>
      </c>
      <c r="S26" s="3"/>
      <c r="T26" s="3">
        <f>68.9+1178</f>
        <v>1246.9</v>
      </c>
      <c r="U26" s="3"/>
      <c r="V26" s="3"/>
      <c r="W26" s="3">
        <f>68.9+1178</f>
        <v>1246.9</v>
      </c>
      <c r="X26" s="3"/>
      <c r="Y26" s="3"/>
      <c r="Z26" s="3">
        <f>68.9+1178</f>
        <v>1246.9</v>
      </c>
      <c r="AA26" s="3"/>
      <c r="AB26" s="3"/>
      <c r="AC26" s="3">
        <f>68.9+1178</f>
        <v>1246.9</v>
      </c>
      <c r="AD26" s="3"/>
      <c r="AE26" s="3"/>
      <c r="AF26" s="131"/>
      <c r="AG26" s="132"/>
      <c r="AH26" s="26">
        <f>13.5+1200.1</f>
        <v>1213.6</v>
      </c>
      <c r="AI26" s="26">
        <v>87.9</v>
      </c>
      <c r="AJ26" s="26"/>
      <c r="AK26" s="26">
        <f>68.9+1178</f>
        <v>1246.9</v>
      </c>
      <c r="AL26" s="26"/>
      <c r="AM26" s="26"/>
      <c r="AN26" s="26">
        <f>68.9+1178</f>
        <v>1246.9</v>
      </c>
      <c r="AO26" s="26"/>
      <c r="AP26" s="26"/>
      <c r="AQ26" s="26">
        <f>68.9+1178</f>
        <v>1246.9</v>
      </c>
      <c r="AR26" s="26"/>
      <c r="AS26" s="26"/>
      <c r="AT26" s="26">
        <f>68.9+1178</f>
        <v>1246.9</v>
      </c>
      <c r="AU26" s="26"/>
      <c r="AV26" s="26"/>
    </row>
    <row r="27" spans="1:48" ht="15" customHeight="1">
      <c r="A27" s="84"/>
      <c r="B27" s="91"/>
      <c r="C27" s="10" t="s">
        <v>90</v>
      </c>
      <c r="D27" s="3">
        <v>121</v>
      </c>
      <c r="E27" s="84"/>
      <c r="F27" s="87"/>
      <c r="G27" s="87"/>
      <c r="H27" s="82"/>
      <c r="I27" s="91"/>
      <c r="J27" s="87"/>
      <c r="K27" s="84" t="s">
        <v>125</v>
      </c>
      <c r="L27" s="123" t="s">
        <v>120</v>
      </c>
      <c r="M27" s="90" t="s">
        <v>126</v>
      </c>
      <c r="N27" s="3">
        <v>6508.9</v>
      </c>
      <c r="O27" s="3"/>
      <c r="P27" s="3">
        <v>6508.9</v>
      </c>
      <c r="Q27" s="3">
        <v>6508.9</v>
      </c>
      <c r="R27" s="3"/>
      <c r="S27" s="3">
        <v>6508.9</v>
      </c>
      <c r="T27" s="3">
        <v>6620</v>
      </c>
      <c r="U27" s="3"/>
      <c r="V27" s="3">
        <v>6620</v>
      </c>
      <c r="W27" s="3">
        <v>7047</v>
      </c>
      <c r="X27" s="3"/>
      <c r="Y27" s="3">
        <v>7047</v>
      </c>
      <c r="Z27" s="3">
        <v>7047</v>
      </c>
      <c r="AA27" s="3"/>
      <c r="AB27" s="3">
        <v>7047</v>
      </c>
      <c r="AC27" s="3">
        <v>7047</v>
      </c>
      <c r="AD27" s="3"/>
      <c r="AE27" s="3">
        <v>7047</v>
      </c>
      <c r="AF27" s="131"/>
      <c r="AG27" s="130" t="s">
        <v>287</v>
      </c>
      <c r="AH27" s="26">
        <v>6508.9</v>
      </c>
      <c r="AI27" s="26"/>
      <c r="AJ27" s="26">
        <v>6508.9</v>
      </c>
      <c r="AK27" s="26">
        <v>6620</v>
      </c>
      <c r="AL27" s="26"/>
      <c r="AM27" s="26">
        <v>6620</v>
      </c>
      <c r="AN27" s="26">
        <v>7047</v>
      </c>
      <c r="AO27" s="26"/>
      <c r="AP27" s="26">
        <v>7047</v>
      </c>
      <c r="AQ27" s="26">
        <v>7047</v>
      </c>
      <c r="AR27" s="26"/>
      <c r="AS27" s="26">
        <v>7047</v>
      </c>
      <c r="AT27" s="26">
        <v>7047</v>
      </c>
      <c r="AU27" s="26"/>
      <c r="AV27" s="26">
        <v>7047</v>
      </c>
    </row>
    <row r="28" spans="1:48" ht="15" customHeight="1">
      <c r="A28" s="84"/>
      <c r="B28" s="91"/>
      <c r="C28" s="10" t="s">
        <v>90</v>
      </c>
      <c r="D28" s="3">
        <v>122</v>
      </c>
      <c r="E28" s="84"/>
      <c r="F28" s="87"/>
      <c r="G28" s="87"/>
      <c r="H28" s="82"/>
      <c r="I28" s="91"/>
      <c r="J28" s="87"/>
      <c r="K28" s="84"/>
      <c r="L28" s="123"/>
      <c r="M28" s="90"/>
      <c r="N28" s="3">
        <v>23.1</v>
      </c>
      <c r="O28" s="3"/>
      <c r="P28" s="3"/>
      <c r="Q28" s="3">
        <v>23.1</v>
      </c>
      <c r="R28" s="3"/>
      <c r="S28" s="3"/>
      <c r="T28" s="3">
        <v>42</v>
      </c>
      <c r="U28" s="3"/>
      <c r="V28" s="3"/>
      <c r="W28" s="3">
        <v>42</v>
      </c>
      <c r="X28" s="3"/>
      <c r="Y28" s="3"/>
      <c r="Z28" s="3">
        <v>42</v>
      </c>
      <c r="AA28" s="3"/>
      <c r="AB28" s="3"/>
      <c r="AC28" s="3">
        <v>42</v>
      </c>
      <c r="AD28" s="3"/>
      <c r="AE28" s="3"/>
      <c r="AF28" s="131"/>
      <c r="AG28" s="131"/>
      <c r="AH28" s="26">
        <v>23.1</v>
      </c>
      <c r="AI28" s="26"/>
      <c r="AJ28" s="26"/>
      <c r="AK28" s="26">
        <v>42</v>
      </c>
      <c r="AL28" s="26"/>
      <c r="AM28" s="26"/>
      <c r="AN28" s="26">
        <v>42</v>
      </c>
      <c r="AO28" s="26"/>
      <c r="AP28" s="26"/>
      <c r="AQ28" s="26">
        <v>42</v>
      </c>
      <c r="AR28" s="26"/>
      <c r="AS28" s="26"/>
      <c r="AT28" s="26">
        <v>42</v>
      </c>
      <c r="AU28" s="26"/>
      <c r="AV28" s="26"/>
    </row>
    <row r="29" spans="1:48" ht="15" customHeight="1">
      <c r="A29" s="84"/>
      <c r="B29" s="91"/>
      <c r="C29" s="10" t="s">
        <v>90</v>
      </c>
      <c r="D29" s="3">
        <v>129</v>
      </c>
      <c r="E29" s="84"/>
      <c r="F29" s="87"/>
      <c r="G29" s="87"/>
      <c r="H29" s="82"/>
      <c r="I29" s="91"/>
      <c r="J29" s="87"/>
      <c r="K29" s="84"/>
      <c r="L29" s="123"/>
      <c r="M29" s="90"/>
      <c r="N29" s="3">
        <v>1966.6</v>
      </c>
      <c r="O29" s="3"/>
      <c r="P29" s="3">
        <v>1966.6</v>
      </c>
      <c r="Q29" s="3">
        <v>1966.6</v>
      </c>
      <c r="R29" s="3"/>
      <c r="S29" s="3">
        <v>1966.6</v>
      </c>
      <c r="T29" s="3">
        <v>1997</v>
      </c>
      <c r="U29" s="3"/>
      <c r="V29" s="3">
        <v>1997</v>
      </c>
      <c r="W29" s="3">
        <v>2125.6</v>
      </c>
      <c r="X29" s="3"/>
      <c r="Y29" s="3">
        <v>2125.6</v>
      </c>
      <c r="Z29" s="3">
        <v>2125.6</v>
      </c>
      <c r="AA29" s="3"/>
      <c r="AB29" s="3">
        <v>2125.6</v>
      </c>
      <c r="AC29" s="3">
        <v>2125.6</v>
      </c>
      <c r="AD29" s="3"/>
      <c r="AE29" s="3">
        <v>2125.6</v>
      </c>
      <c r="AF29" s="131"/>
      <c r="AG29" s="131"/>
      <c r="AH29" s="26">
        <v>1966.6</v>
      </c>
      <c r="AI29" s="26"/>
      <c r="AJ29" s="26">
        <v>1966.6</v>
      </c>
      <c r="AK29" s="26">
        <v>1997</v>
      </c>
      <c r="AL29" s="26"/>
      <c r="AM29" s="26">
        <v>1997</v>
      </c>
      <c r="AN29" s="26">
        <v>2125.6</v>
      </c>
      <c r="AO29" s="26"/>
      <c r="AP29" s="26">
        <v>2125.6</v>
      </c>
      <c r="AQ29" s="26">
        <v>2125.6</v>
      </c>
      <c r="AR29" s="26"/>
      <c r="AS29" s="26">
        <v>2125.6</v>
      </c>
      <c r="AT29" s="26">
        <v>2125.6</v>
      </c>
      <c r="AU29" s="26"/>
      <c r="AV29" s="26">
        <v>2125.6</v>
      </c>
    </row>
    <row r="30" spans="1:48" ht="15" customHeight="1">
      <c r="A30" s="84"/>
      <c r="B30" s="91"/>
      <c r="C30" s="10" t="s">
        <v>90</v>
      </c>
      <c r="D30" s="3">
        <v>244</v>
      </c>
      <c r="E30" s="84"/>
      <c r="F30" s="87"/>
      <c r="G30" s="87"/>
      <c r="H30" s="82"/>
      <c r="I30" s="91"/>
      <c r="J30" s="87"/>
      <c r="K30" s="84"/>
      <c r="L30" s="123"/>
      <c r="M30" s="90"/>
      <c r="N30" s="3"/>
      <c r="O30" s="3"/>
      <c r="P30" s="3"/>
      <c r="Q30" s="3"/>
      <c r="R30" s="3"/>
      <c r="S30" s="3"/>
      <c r="T30" s="3"/>
      <c r="U30" s="3"/>
      <c r="V30" s="3"/>
      <c r="W30" s="3"/>
      <c r="X30" s="3"/>
      <c r="Y30" s="3"/>
      <c r="Z30" s="3"/>
      <c r="AA30" s="3"/>
      <c r="AB30" s="3"/>
      <c r="AC30" s="3"/>
      <c r="AD30" s="3"/>
      <c r="AE30" s="3"/>
      <c r="AF30" s="131"/>
      <c r="AG30" s="131"/>
      <c r="AH30" s="26"/>
      <c r="AI30" s="26"/>
      <c r="AJ30" s="26"/>
      <c r="AK30" s="26"/>
      <c r="AL30" s="26"/>
      <c r="AM30" s="26"/>
      <c r="AN30" s="26"/>
      <c r="AO30" s="26"/>
      <c r="AP30" s="26"/>
      <c r="AQ30" s="26"/>
      <c r="AR30" s="26"/>
      <c r="AS30" s="26"/>
      <c r="AT30" s="26"/>
      <c r="AU30" s="26"/>
      <c r="AV30" s="26"/>
    </row>
    <row r="31" spans="1:48" ht="15" customHeight="1">
      <c r="A31" s="84"/>
      <c r="B31" s="91"/>
      <c r="C31" s="10" t="s">
        <v>90</v>
      </c>
      <c r="D31" s="3">
        <v>852</v>
      </c>
      <c r="E31" s="84"/>
      <c r="F31" s="87"/>
      <c r="G31" s="87"/>
      <c r="H31" s="82"/>
      <c r="I31" s="91"/>
      <c r="J31" s="87"/>
      <c r="K31" s="84"/>
      <c r="L31" s="123"/>
      <c r="M31" s="90"/>
      <c r="N31" s="3"/>
      <c r="O31" s="3"/>
      <c r="P31" s="3"/>
      <c r="Q31" s="3"/>
      <c r="R31" s="3"/>
      <c r="S31" s="3"/>
      <c r="T31" s="3">
        <v>1</v>
      </c>
      <c r="U31" s="3"/>
      <c r="V31" s="3"/>
      <c r="W31" s="3">
        <v>1</v>
      </c>
      <c r="X31" s="3"/>
      <c r="Y31" s="3"/>
      <c r="Z31" s="3">
        <v>1</v>
      </c>
      <c r="AA31" s="3"/>
      <c r="AB31" s="3"/>
      <c r="AC31" s="3">
        <v>1</v>
      </c>
      <c r="AD31" s="3"/>
      <c r="AE31" s="3"/>
      <c r="AF31" s="132"/>
      <c r="AG31" s="131"/>
      <c r="AH31" s="26"/>
      <c r="AI31" s="26"/>
      <c r="AJ31" s="26"/>
      <c r="AK31" s="26">
        <v>1</v>
      </c>
      <c r="AL31" s="26"/>
      <c r="AM31" s="26"/>
      <c r="AN31" s="26">
        <v>1</v>
      </c>
      <c r="AO31" s="26"/>
      <c r="AP31" s="26"/>
      <c r="AQ31" s="26">
        <v>1</v>
      </c>
      <c r="AR31" s="26"/>
      <c r="AS31" s="26"/>
      <c r="AT31" s="26">
        <v>1</v>
      </c>
      <c r="AU31" s="26"/>
      <c r="AV31" s="26"/>
    </row>
    <row r="32" spans="1:48" s="2" customFormat="1" ht="23.25" customHeight="1">
      <c r="A32" s="84"/>
      <c r="B32" s="91"/>
      <c r="C32" s="10" t="s">
        <v>78</v>
      </c>
      <c r="D32" s="3">
        <v>730</v>
      </c>
      <c r="E32" s="84"/>
      <c r="F32" s="87"/>
      <c r="G32" s="87"/>
      <c r="H32" s="82"/>
      <c r="I32" s="91"/>
      <c r="J32" s="87"/>
      <c r="K32" s="70" t="s">
        <v>289</v>
      </c>
      <c r="L32" s="69" t="s">
        <v>120</v>
      </c>
      <c r="M32" s="68" t="s">
        <v>122</v>
      </c>
      <c r="N32" s="3">
        <v>218</v>
      </c>
      <c r="O32" s="3"/>
      <c r="P32" s="3"/>
      <c r="Q32" s="3">
        <v>217.1</v>
      </c>
      <c r="R32" s="3"/>
      <c r="S32" s="3"/>
      <c r="T32" s="3">
        <v>6000</v>
      </c>
      <c r="U32" s="3"/>
      <c r="V32" s="3"/>
      <c r="W32" s="3">
        <v>6000</v>
      </c>
      <c r="X32" s="3"/>
      <c r="Y32" s="3"/>
      <c r="Z32" s="3">
        <v>6000</v>
      </c>
      <c r="AA32" s="3"/>
      <c r="AB32" s="3"/>
      <c r="AC32" s="3">
        <v>6000</v>
      </c>
      <c r="AD32" s="3"/>
      <c r="AE32" s="3"/>
      <c r="AF32" s="130" t="s">
        <v>284</v>
      </c>
      <c r="AG32" s="132"/>
      <c r="AH32" s="26">
        <v>218</v>
      </c>
      <c r="AI32" s="26"/>
      <c r="AJ32" s="26"/>
      <c r="AK32" s="26">
        <v>6000</v>
      </c>
      <c r="AL32" s="26"/>
      <c r="AM32" s="26"/>
      <c r="AN32" s="26">
        <v>6000</v>
      </c>
      <c r="AO32" s="26"/>
      <c r="AP32" s="26"/>
      <c r="AQ32" s="26">
        <v>6000</v>
      </c>
      <c r="AR32" s="26"/>
      <c r="AS32" s="26"/>
      <c r="AT32" s="26">
        <v>6000</v>
      </c>
      <c r="AU32" s="26"/>
      <c r="AV32" s="26"/>
    </row>
    <row r="33" spans="1:48" s="2" customFormat="1" ht="25.5" customHeight="1">
      <c r="A33" s="84"/>
      <c r="B33" s="91"/>
      <c r="C33" s="10" t="s">
        <v>33</v>
      </c>
      <c r="D33" s="3">
        <v>870</v>
      </c>
      <c r="E33" s="84"/>
      <c r="F33" s="87"/>
      <c r="G33" s="87"/>
      <c r="H33" s="82"/>
      <c r="I33" s="91"/>
      <c r="J33" s="87"/>
      <c r="K33" s="120" t="s">
        <v>119</v>
      </c>
      <c r="L33" s="121" t="s">
        <v>120</v>
      </c>
      <c r="M33" s="120" t="s">
        <v>121</v>
      </c>
      <c r="N33" s="3">
        <v>500</v>
      </c>
      <c r="O33" s="3"/>
      <c r="P33" s="3"/>
      <c r="Q33" s="3">
        <v>0</v>
      </c>
      <c r="R33" s="3"/>
      <c r="S33" s="3"/>
      <c r="T33" s="3">
        <v>500</v>
      </c>
      <c r="U33" s="3"/>
      <c r="V33" s="3"/>
      <c r="W33" s="3">
        <v>500</v>
      </c>
      <c r="X33" s="3"/>
      <c r="Y33" s="3"/>
      <c r="Z33" s="3">
        <v>500</v>
      </c>
      <c r="AA33" s="3"/>
      <c r="AB33" s="3"/>
      <c r="AC33" s="3">
        <v>500</v>
      </c>
      <c r="AD33" s="3"/>
      <c r="AE33" s="3"/>
      <c r="AF33" s="131"/>
      <c r="AG33" s="58" t="s">
        <v>286</v>
      </c>
      <c r="AH33" s="26">
        <v>500</v>
      </c>
      <c r="AI33" s="26"/>
      <c r="AJ33" s="26"/>
      <c r="AK33" s="26">
        <v>500</v>
      </c>
      <c r="AL33" s="26"/>
      <c r="AM33" s="26"/>
      <c r="AN33" s="26">
        <v>500</v>
      </c>
      <c r="AO33" s="26"/>
      <c r="AP33" s="26"/>
      <c r="AQ33" s="26">
        <v>500</v>
      </c>
      <c r="AR33" s="26"/>
      <c r="AS33" s="26"/>
      <c r="AT33" s="26">
        <v>500</v>
      </c>
      <c r="AU33" s="26"/>
      <c r="AV33" s="26"/>
    </row>
    <row r="34" spans="1:48" s="2" customFormat="1" ht="21" customHeight="1" thickBot="1">
      <c r="A34" s="84"/>
      <c r="B34" s="91"/>
      <c r="C34" s="10" t="s">
        <v>35</v>
      </c>
      <c r="D34" s="3">
        <v>831</v>
      </c>
      <c r="E34" s="84"/>
      <c r="F34" s="87"/>
      <c r="G34" s="87"/>
      <c r="H34" s="83"/>
      <c r="I34" s="91"/>
      <c r="J34" s="87"/>
      <c r="K34" s="120"/>
      <c r="L34" s="121"/>
      <c r="M34" s="120"/>
      <c r="N34" s="3">
        <v>250</v>
      </c>
      <c r="O34" s="3"/>
      <c r="P34" s="3"/>
      <c r="Q34" s="3">
        <v>194.6</v>
      </c>
      <c r="R34" s="3"/>
      <c r="S34" s="3"/>
      <c r="T34" s="3">
        <v>300</v>
      </c>
      <c r="U34" s="3"/>
      <c r="V34" s="3"/>
      <c r="W34" s="3">
        <v>0</v>
      </c>
      <c r="X34" s="3"/>
      <c r="Y34" s="3"/>
      <c r="Z34" s="3">
        <v>0</v>
      </c>
      <c r="AA34" s="3"/>
      <c r="AB34" s="3"/>
      <c r="AC34" s="3">
        <v>0</v>
      </c>
      <c r="AD34" s="3"/>
      <c r="AE34" s="3"/>
      <c r="AF34" s="132"/>
      <c r="AG34" s="58" t="s">
        <v>286</v>
      </c>
      <c r="AH34" s="26">
        <v>250</v>
      </c>
      <c r="AI34" s="26"/>
      <c r="AJ34" s="26"/>
      <c r="AK34" s="26">
        <v>300</v>
      </c>
      <c r="AL34" s="26"/>
      <c r="AM34" s="26"/>
      <c r="AN34" s="26">
        <v>0</v>
      </c>
      <c r="AO34" s="26"/>
      <c r="AP34" s="26"/>
      <c r="AQ34" s="26">
        <v>0</v>
      </c>
      <c r="AR34" s="26"/>
      <c r="AS34" s="26"/>
      <c r="AT34" s="26">
        <v>0</v>
      </c>
      <c r="AU34" s="26"/>
      <c r="AV34" s="26"/>
    </row>
    <row r="35" spans="1:48" s="6" customFormat="1" ht="17.25" customHeight="1" thickBot="1">
      <c r="A35" s="18"/>
      <c r="B35" s="4"/>
      <c r="C35" s="10"/>
      <c r="D35" s="3"/>
      <c r="E35" s="54"/>
      <c r="F35" s="53"/>
      <c r="G35" s="54"/>
      <c r="H35" s="58"/>
      <c r="I35" s="58"/>
      <c r="J35" s="53"/>
      <c r="K35" s="54"/>
      <c r="L35" s="27"/>
      <c r="M35" s="53"/>
      <c r="N35" s="3">
        <f>N36+N37+N38+N39+N40+N41+N42+N43+N44+N45</f>
        <v>35562.14</v>
      </c>
      <c r="O35" s="3">
        <f aca="true" t="shared" si="7" ref="O35:AB35">O36+O37+O38+O39+O40+O41+O42+O43+O44+O45</f>
        <v>32000</v>
      </c>
      <c r="P35" s="3">
        <f t="shared" si="7"/>
        <v>0</v>
      </c>
      <c r="Q35" s="3">
        <f t="shared" si="7"/>
        <v>35511.44</v>
      </c>
      <c r="R35" s="3">
        <f t="shared" si="7"/>
        <v>32000</v>
      </c>
      <c r="S35" s="3">
        <f t="shared" si="7"/>
        <v>0</v>
      </c>
      <c r="T35" s="3">
        <f t="shared" si="7"/>
        <v>44306.1</v>
      </c>
      <c r="U35" s="3">
        <f t="shared" si="7"/>
        <v>40500</v>
      </c>
      <c r="V35" s="3">
        <f t="shared" si="7"/>
        <v>0</v>
      </c>
      <c r="W35" s="3">
        <f t="shared" si="7"/>
        <v>3292.5</v>
      </c>
      <c r="X35" s="3">
        <f t="shared" si="7"/>
        <v>0</v>
      </c>
      <c r="Y35" s="3">
        <f t="shared" si="7"/>
        <v>0</v>
      </c>
      <c r="Z35" s="3">
        <f t="shared" si="7"/>
        <v>2746.9</v>
      </c>
      <c r="AA35" s="3">
        <f t="shared" si="7"/>
        <v>0</v>
      </c>
      <c r="AB35" s="3">
        <f t="shared" si="7"/>
        <v>0</v>
      </c>
      <c r="AC35" s="3">
        <f>AC36+AC37+AC38+AC39+AC40+AC41+AC42+AC43+AC44+AC45</f>
        <v>2746.9</v>
      </c>
      <c r="AD35" s="3">
        <f>AD36+AD37+AD38+AD39+AD40+AD41+AD42+AD43+AD44+AD45</f>
        <v>0</v>
      </c>
      <c r="AE35" s="3">
        <f>AE36+AE37+AE38+AE39+AE40+AE41+AE42+AE43+AE44+AE45</f>
        <v>0</v>
      </c>
      <c r="AF35" s="12"/>
      <c r="AG35" s="58"/>
      <c r="AH35" s="26">
        <f>AH36+AH37+AH38+AH39+AH40+AH41+AH42+AH43+AH44+AH45</f>
        <v>35562.14</v>
      </c>
      <c r="AI35" s="26">
        <f aca="true" t="shared" si="8" ref="AI35:AS35">AI36+AI37+AI38+AI39+AI40+AI41+AI42+AI43+AI44+AI45</f>
        <v>32000</v>
      </c>
      <c r="AJ35" s="26">
        <f t="shared" si="8"/>
        <v>0</v>
      </c>
      <c r="AK35" s="26">
        <f t="shared" si="8"/>
        <v>44306.1</v>
      </c>
      <c r="AL35" s="26">
        <f t="shared" si="8"/>
        <v>40500</v>
      </c>
      <c r="AM35" s="26">
        <f t="shared" si="8"/>
        <v>0</v>
      </c>
      <c r="AN35" s="26">
        <f t="shared" si="8"/>
        <v>3292.5</v>
      </c>
      <c r="AO35" s="26">
        <f t="shared" si="8"/>
        <v>0</v>
      </c>
      <c r="AP35" s="26">
        <f t="shared" si="8"/>
        <v>0</v>
      </c>
      <c r="AQ35" s="26">
        <f t="shared" si="8"/>
        <v>2746.9</v>
      </c>
      <c r="AR35" s="26">
        <f t="shared" si="8"/>
        <v>0</v>
      </c>
      <c r="AS35" s="26">
        <f t="shared" si="8"/>
        <v>0</v>
      </c>
      <c r="AT35" s="26">
        <f>AT36+AT37+AT38+AT39+AT40+AT41+AT42+AT43+AT44+AT45</f>
        <v>2746.9</v>
      </c>
      <c r="AU35" s="26">
        <f>AU36+AU37+AU38+AU39+AU40+AU41+AU42+AU43+AU44+AU45</f>
        <v>0</v>
      </c>
      <c r="AV35" s="26">
        <f>AV36+AV37+AV38+AV39+AV40+AV41+AV42+AV43+AV44+AV45</f>
        <v>0</v>
      </c>
    </row>
    <row r="36" spans="1:48" ht="18.75" customHeight="1">
      <c r="A36" s="84" t="s">
        <v>18</v>
      </c>
      <c r="B36" s="91">
        <v>2104</v>
      </c>
      <c r="C36" s="19" t="s">
        <v>35</v>
      </c>
      <c r="D36" s="18">
        <v>244</v>
      </c>
      <c r="E36" s="106" t="s">
        <v>165</v>
      </c>
      <c r="F36" s="114" t="s">
        <v>160</v>
      </c>
      <c r="G36" s="114" t="s">
        <v>159</v>
      </c>
      <c r="H36" s="115"/>
      <c r="I36" s="115"/>
      <c r="J36" s="114"/>
      <c r="K36" s="81" t="s">
        <v>127</v>
      </c>
      <c r="L36" s="91" t="s">
        <v>120</v>
      </c>
      <c r="M36" s="91" t="s">
        <v>129</v>
      </c>
      <c r="N36" s="3">
        <f>5+986.74</f>
        <v>991.74</v>
      </c>
      <c r="O36" s="3"/>
      <c r="P36" s="3"/>
      <c r="Q36" s="3">
        <f>5+986.74</f>
        <v>991.74</v>
      </c>
      <c r="R36" s="3"/>
      <c r="S36" s="3"/>
      <c r="T36" s="3"/>
      <c r="U36" s="3"/>
      <c r="V36" s="3"/>
      <c r="W36" s="3"/>
      <c r="X36" s="3"/>
      <c r="Y36" s="3"/>
      <c r="Z36" s="3"/>
      <c r="AA36" s="3"/>
      <c r="AB36" s="3"/>
      <c r="AC36" s="3"/>
      <c r="AD36" s="3"/>
      <c r="AE36" s="3"/>
      <c r="AF36" s="91" t="s">
        <v>283</v>
      </c>
      <c r="AG36" s="130" t="s">
        <v>287</v>
      </c>
      <c r="AH36" s="26">
        <f>5+986.74</f>
        <v>991.74</v>
      </c>
      <c r="AI36" s="26"/>
      <c r="AJ36" s="26"/>
      <c r="AK36" s="26"/>
      <c r="AL36" s="26"/>
      <c r="AM36" s="26"/>
      <c r="AN36" s="26"/>
      <c r="AO36" s="26"/>
      <c r="AP36" s="26"/>
      <c r="AQ36" s="26"/>
      <c r="AR36" s="26"/>
      <c r="AS36" s="26"/>
      <c r="AT36" s="26"/>
      <c r="AU36" s="26"/>
      <c r="AV36" s="26"/>
    </row>
    <row r="37" spans="1:48" ht="18.75" customHeight="1">
      <c r="A37" s="84"/>
      <c r="B37" s="91"/>
      <c r="C37" s="19" t="s">
        <v>35</v>
      </c>
      <c r="D37" s="18">
        <v>244</v>
      </c>
      <c r="E37" s="106"/>
      <c r="F37" s="114"/>
      <c r="G37" s="106"/>
      <c r="H37" s="115"/>
      <c r="I37" s="115"/>
      <c r="J37" s="114"/>
      <c r="K37" s="82"/>
      <c r="L37" s="91"/>
      <c r="M37" s="91"/>
      <c r="N37" s="17">
        <f>60+1061.5</f>
        <v>1121.5</v>
      </c>
      <c r="O37" s="3"/>
      <c r="P37" s="3"/>
      <c r="Q37" s="3">
        <f>42+1028.8</f>
        <v>1070.8</v>
      </c>
      <c r="R37" s="3"/>
      <c r="S37" s="3"/>
      <c r="T37" s="14">
        <f>238+3488.6</f>
        <v>3726.6</v>
      </c>
      <c r="U37" s="3"/>
      <c r="V37" s="28"/>
      <c r="W37" s="14">
        <f>489+1735.4</f>
        <v>2224.4</v>
      </c>
      <c r="X37" s="28"/>
      <c r="Y37" s="28"/>
      <c r="Z37" s="14">
        <f>170+1462.5</f>
        <v>1632.5</v>
      </c>
      <c r="AA37" s="28"/>
      <c r="AB37" s="28"/>
      <c r="AC37" s="14">
        <f>170+1462.5</f>
        <v>1632.5</v>
      </c>
      <c r="AD37" s="28"/>
      <c r="AE37" s="28"/>
      <c r="AF37" s="91"/>
      <c r="AG37" s="131"/>
      <c r="AH37" s="17">
        <f>60+1061.5</f>
        <v>1121.5</v>
      </c>
      <c r="AI37" s="26"/>
      <c r="AJ37" s="26"/>
      <c r="AK37" s="14">
        <f>238+3488.6</f>
        <v>3726.6</v>
      </c>
      <c r="AL37" s="26"/>
      <c r="AM37" s="28"/>
      <c r="AN37" s="14">
        <f>489+1735.4</f>
        <v>2224.4</v>
      </c>
      <c r="AO37" s="28"/>
      <c r="AP37" s="28"/>
      <c r="AQ37" s="14">
        <f>170+1462.5</f>
        <v>1632.5</v>
      </c>
      <c r="AR37" s="28"/>
      <c r="AS37" s="28"/>
      <c r="AT37" s="14">
        <f>170+1462.5</f>
        <v>1632.5</v>
      </c>
      <c r="AU37" s="28"/>
      <c r="AV37" s="28"/>
    </row>
    <row r="38" spans="1:48" ht="18" customHeight="1">
      <c r="A38" s="84"/>
      <c r="B38" s="91"/>
      <c r="C38" s="19" t="s">
        <v>35</v>
      </c>
      <c r="D38" s="18">
        <v>121</v>
      </c>
      <c r="E38" s="106"/>
      <c r="F38" s="114"/>
      <c r="G38" s="106"/>
      <c r="H38" s="115"/>
      <c r="I38" s="115"/>
      <c r="J38" s="114"/>
      <c r="K38" s="82"/>
      <c r="L38" s="91"/>
      <c r="M38" s="91"/>
      <c r="N38" s="3">
        <v>966.5</v>
      </c>
      <c r="O38" s="3"/>
      <c r="P38" s="3"/>
      <c r="Q38" s="3">
        <v>966.5</v>
      </c>
      <c r="R38" s="3"/>
      <c r="S38" s="3"/>
      <c r="T38" s="3"/>
      <c r="U38" s="3"/>
      <c r="V38" s="3"/>
      <c r="W38" s="3"/>
      <c r="X38" s="3"/>
      <c r="Y38" s="3"/>
      <c r="Z38" s="3"/>
      <c r="AA38" s="3"/>
      <c r="AB38" s="3"/>
      <c r="AC38" s="3"/>
      <c r="AD38" s="3"/>
      <c r="AE38" s="3"/>
      <c r="AF38" s="91"/>
      <c r="AG38" s="131"/>
      <c r="AH38" s="26">
        <v>966.5</v>
      </c>
      <c r="AI38" s="26"/>
      <c r="AJ38" s="26"/>
      <c r="AK38" s="26"/>
      <c r="AL38" s="26"/>
      <c r="AM38" s="26"/>
      <c r="AN38" s="26"/>
      <c r="AO38" s="26"/>
      <c r="AP38" s="26"/>
      <c r="AQ38" s="26"/>
      <c r="AR38" s="26"/>
      <c r="AS38" s="26"/>
      <c r="AT38" s="26"/>
      <c r="AU38" s="26"/>
      <c r="AV38" s="26"/>
    </row>
    <row r="39" spans="1:48" ht="18" customHeight="1">
      <c r="A39" s="84"/>
      <c r="B39" s="91"/>
      <c r="C39" s="19" t="s">
        <v>35</v>
      </c>
      <c r="D39" s="18">
        <v>122</v>
      </c>
      <c r="E39" s="106"/>
      <c r="F39" s="114"/>
      <c r="G39" s="106"/>
      <c r="H39" s="115"/>
      <c r="I39" s="115"/>
      <c r="J39" s="114"/>
      <c r="K39" s="82"/>
      <c r="L39" s="91"/>
      <c r="M39" s="91"/>
      <c r="N39" s="3">
        <v>0.3</v>
      </c>
      <c r="O39" s="3"/>
      <c r="P39" s="3"/>
      <c r="Q39" s="3">
        <v>0.3</v>
      </c>
      <c r="R39" s="3"/>
      <c r="S39" s="3"/>
      <c r="T39" s="3"/>
      <c r="U39" s="3"/>
      <c r="V39" s="3"/>
      <c r="W39" s="3"/>
      <c r="X39" s="3"/>
      <c r="Y39" s="3"/>
      <c r="Z39" s="3"/>
      <c r="AA39" s="3"/>
      <c r="AB39" s="3"/>
      <c r="AC39" s="3"/>
      <c r="AD39" s="3"/>
      <c r="AE39" s="3"/>
      <c r="AF39" s="91"/>
      <c r="AG39" s="131"/>
      <c r="AH39" s="26">
        <v>0.3</v>
      </c>
      <c r="AI39" s="26"/>
      <c r="AJ39" s="26"/>
      <c r="AK39" s="26"/>
      <c r="AL39" s="26"/>
      <c r="AM39" s="26"/>
      <c r="AN39" s="26"/>
      <c r="AO39" s="26"/>
      <c r="AP39" s="26"/>
      <c r="AQ39" s="26"/>
      <c r="AR39" s="26"/>
      <c r="AS39" s="26"/>
      <c r="AT39" s="26"/>
      <c r="AU39" s="26"/>
      <c r="AV39" s="26"/>
    </row>
    <row r="40" spans="1:48" ht="18" customHeight="1">
      <c r="A40" s="84"/>
      <c r="B40" s="91"/>
      <c r="C40" s="19" t="s">
        <v>35</v>
      </c>
      <c r="D40" s="18">
        <v>129</v>
      </c>
      <c r="E40" s="106"/>
      <c r="F40" s="114"/>
      <c r="G40" s="106"/>
      <c r="H40" s="115"/>
      <c r="I40" s="115"/>
      <c r="J40" s="114"/>
      <c r="K40" s="82"/>
      <c r="L40" s="91"/>
      <c r="M40" s="91"/>
      <c r="N40" s="3">
        <v>340.7</v>
      </c>
      <c r="O40" s="3"/>
      <c r="P40" s="3"/>
      <c r="Q40" s="3">
        <v>340.7</v>
      </c>
      <c r="R40" s="3"/>
      <c r="S40" s="3"/>
      <c r="T40" s="3"/>
      <c r="U40" s="3"/>
      <c r="V40" s="3"/>
      <c r="W40" s="3"/>
      <c r="X40" s="3"/>
      <c r="Y40" s="3"/>
      <c r="Z40" s="3"/>
      <c r="AA40" s="3"/>
      <c r="AB40" s="3"/>
      <c r="AC40" s="3"/>
      <c r="AD40" s="3"/>
      <c r="AE40" s="3"/>
      <c r="AF40" s="91"/>
      <c r="AG40" s="131"/>
      <c r="AH40" s="26">
        <v>340.7</v>
      </c>
      <c r="AI40" s="26"/>
      <c r="AJ40" s="26"/>
      <c r="AK40" s="26"/>
      <c r="AL40" s="26"/>
      <c r="AM40" s="26"/>
      <c r="AN40" s="26"/>
      <c r="AO40" s="26"/>
      <c r="AP40" s="26"/>
      <c r="AQ40" s="26"/>
      <c r="AR40" s="26"/>
      <c r="AS40" s="26"/>
      <c r="AT40" s="26"/>
      <c r="AU40" s="26"/>
      <c r="AV40" s="26"/>
    </row>
    <row r="41" spans="1:48" ht="18" customHeight="1">
      <c r="A41" s="84"/>
      <c r="B41" s="91"/>
      <c r="C41" s="19" t="s">
        <v>35</v>
      </c>
      <c r="D41" s="18">
        <v>244</v>
      </c>
      <c r="E41" s="106"/>
      <c r="F41" s="114"/>
      <c r="G41" s="106"/>
      <c r="H41" s="115"/>
      <c r="I41" s="115"/>
      <c r="J41" s="114"/>
      <c r="K41" s="82"/>
      <c r="L41" s="91"/>
      <c r="M41" s="91"/>
      <c r="N41" s="3">
        <v>51.8</v>
      </c>
      <c r="O41" s="3"/>
      <c r="P41" s="3"/>
      <c r="Q41" s="3">
        <v>51.8</v>
      </c>
      <c r="R41" s="3"/>
      <c r="S41" s="3"/>
      <c r="T41" s="3"/>
      <c r="U41" s="3"/>
      <c r="V41" s="3"/>
      <c r="W41" s="3"/>
      <c r="X41" s="3"/>
      <c r="Y41" s="3"/>
      <c r="Z41" s="3"/>
      <c r="AA41" s="3"/>
      <c r="AB41" s="3"/>
      <c r="AC41" s="3"/>
      <c r="AD41" s="3"/>
      <c r="AE41" s="3"/>
      <c r="AF41" s="91"/>
      <c r="AG41" s="131"/>
      <c r="AH41" s="26">
        <v>51.8</v>
      </c>
      <c r="AI41" s="26"/>
      <c r="AJ41" s="26"/>
      <c r="AK41" s="26"/>
      <c r="AL41" s="26"/>
      <c r="AM41" s="26"/>
      <c r="AN41" s="26"/>
      <c r="AO41" s="26"/>
      <c r="AP41" s="26"/>
      <c r="AQ41" s="26"/>
      <c r="AR41" s="26"/>
      <c r="AS41" s="26"/>
      <c r="AT41" s="26"/>
      <c r="AU41" s="26"/>
      <c r="AV41" s="26"/>
    </row>
    <row r="42" spans="1:48" ht="16.5" customHeight="1">
      <c r="A42" s="84"/>
      <c r="B42" s="91"/>
      <c r="C42" s="19" t="s">
        <v>35</v>
      </c>
      <c r="D42" s="18">
        <v>852</v>
      </c>
      <c r="E42" s="106"/>
      <c r="F42" s="114"/>
      <c r="G42" s="106"/>
      <c r="H42" s="115"/>
      <c r="I42" s="115"/>
      <c r="J42" s="114"/>
      <c r="K42" s="82"/>
      <c r="L42" s="91"/>
      <c r="M42" s="91"/>
      <c r="N42" s="3">
        <v>0.5</v>
      </c>
      <c r="O42" s="3"/>
      <c r="P42" s="3"/>
      <c r="Q42" s="3">
        <v>0.5</v>
      </c>
      <c r="R42" s="3"/>
      <c r="S42" s="3"/>
      <c r="T42" s="3"/>
      <c r="U42" s="3"/>
      <c r="V42" s="3"/>
      <c r="W42" s="3"/>
      <c r="X42" s="3"/>
      <c r="Y42" s="3"/>
      <c r="Z42" s="3"/>
      <c r="AA42" s="3"/>
      <c r="AB42" s="3"/>
      <c r="AC42" s="3"/>
      <c r="AD42" s="3"/>
      <c r="AE42" s="3"/>
      <c r="AF42" s="91"/>
      <c r="AG42" s="131"/>
      <c r="AH42" s="26">
        <v>0.5</v>
      </c>
      <c r="AI42" s="26"/>
      <c r="AJ42" s="26"/>
      <c r="AK42" s="26"/>
      <c r="AL42" s="26"/>
      <c r="AM42" s="26"/>
      <c r="AN42" s="26"/>
      <c r="AO42" s="26"/>
      <c r="AP42" s="26"/>
      <c r="AQ42" s="26"/>
      <c r="AR42" s="26"/>
      <c r="AS42" s="26"/>
      <c r="AT42" s="26"/>
      <c r="AU42" s="26"/>
      <c r="AV42" s="26"/>
    </row>
    <row r="43" spans="1:48" ht="18" customHeight="1">
      <c r="A43" s="84"/>
      <c r="B43" s="91"/>
      <c r="C43" s="19" t="s">
        <v>57</v>
      </c>
      <c r="D43" s="18">
        <v>244</v>
      </c>
      <c r="E43" s="106"/>
      <c r="F43" s="114"/>
      <c r="G43" s="106"/>
      <c r="H43" s="115"/>
      <c r="I43" s="115"/>
      <c r="J43" s="114"/>
      <c r="K43" s="82"/>
      <c r="L43" s="91"/>
      <c r="M43" s="91"/>
      <c r="N43" s="3">
        <v>68.1</v>
      </c>
      <c r="O43" s="3"/>
      <c r="P43" s="3"/>
      <c r="Q43" s="3">
        <v>68.1</v>
      </c>
      <c r="R43" s="3"/>
      <c r="S43" s="3"/>
      <c r="T43" s="3"/>
      <c r="U43" s="3"/>
      <c r="V43" s="3"/>
      <c r="W43" s="3"/>
      <c r="X43" s="3"/>
      <c r="Y43" s="3"/>
      <c r="Z43" s="3"/>
      <c r="AA43" s="3"/>
      <c r="AB43" s="3"/>
      <c r="AC43" s="3"/>
      <c r="AD43" s="3"/>
      <c r="AE43" s="3"/>
      <c r="AF43" s="81" t="s">
        <v>284</v>
      </c>
      <c r="AG43" s="131"/>
      <c r="AH43" s="26">
        <v>68.1</v>
      </c>
      <c r="AI43" s="26"/>
      <c r="AJ43" s="26"/>
      <c r="AK43" s="26"/>
      <c r="AL43" s="26"/>
      <c r="AM43" s="26"/>
      <c r="AN43" s="26"/>
      <c r="AO43" s="26"/>
      <c r="AP43" s="26"/>
      <c r="AQ43" s="26"/>
      <c r="AR43" s="26"/>
      <c r="AS43" s="26"/>
      <c r="AT43" s="26"/>
      <c r="AU43" s="26"/>
      <c r="AV43" s="26"/>
    </row>
    <row r="44" spans="1:48" ht="19.5" customHeight="1">
      <c r="A44" s="84"/>
      <c r="B44" s="91"/>
      <c r="C44" s="19" t="s">
        <v>57</v>
      </c>
      <c r="D44" s="18">
        <v>244</v>
      </c>
      <c r="E44" s="106"/>
      <c r="F44" s="114"/>
      <c r="G44" s="106"/>
      <c r="H44" s="115"/>
      <c r="I44" s="115"/>
      <c r="J44" s="114"/>
      <c r="K44" s="82"/>
      <c r="L44" s="91"/>
      <c r="M44" s="91"/>
      <c r="N44" s="3">
        <v>21</v>
      </c>
      <c r="O44" s="3"/>
      <c r="P44" s="3"/>
      <c r="Q44" s="3">
        <v>21</v>
      </c>
      <c r="R44" s="3"/>
      <c r="S44" s="3"/>
      <c r="T44" s="3">
        <v>79.5</v>
      </c>
      <c r="U44" s="3"/>
      <c r="V44" s="3"/>
      <c r="W44" s="3">
        <v>1068.1</v>
      </c>
      <c r="X44" s="3"/>
      <c r="Y44" s="3"/>
      <c r="Z44" s="3">
        <v>1114.4</v>
      </c>
      <c r="AA44" s="3"/>
      <c r="AB44" s="3"/>
      <c r="AC44" s="3">
        <v>1114.4</v>
      </c>
      <c r="AD44" s="3"/>
      <c r="AE44" s="3"/>
      <c r="AF44" s="82"/>
      <c r="AG44" s="131"/>
      <c r="AH44" s="26">
        <v>21</v>
      </c>
      <c r="AI44" s="26"/>
      <c r="AJ44" s="26"/>
      <c r="AK44" s="26">
        <v>79.5</v>
      </c>
      <c r="AL44" s="26"/>
      <c r="AM44" s="26"/>
      <c r="AN44" s="26">
        <v>1068.1</v>
      </c>
      <c r="AO44" s="26"/>
      <c r="AP44" s="26"/>
      <c r="AQ44" s="26">
        <v>1114.4</v>
      </c>
      <c r="AR44" s="26"/>
      <c r="AS44" s="26"/>
      <c r="AT44" s="26">
        <v>1114.4</v>
      </c>
      <c r="AU44" s="26"/>
      <c r="AV44" s="26"/>
    </row>
    <row r="45" spans="1:48" ht="16.5" customHeight="1">
      <c r="A45" s="84"/>
      <c r="B45" s="91"/>
      <c r="C45" s="19" t="s">
        <v>22</v>
      </c>
      <c r="D45" s="18">
        <v>461</v>
      </c>
      <c r="E45" s="106"/>
      <c r="F45" s="114"/>
      <c r="G45" s="106"/>
      <c r="H45" s="115"/>
      <c r="I45" s="115"/>
      <c r="J45" s="114"/>
      <c r="K45" s="83"/>
      <c r="L45" s="91"/>
      <c r="M45" s="91"/>
      <c r="N45" s="3">
        <v>32000</v>
      </c>
      <c r="O45" s="3">
        <v>32000</v>
      </c>
      <c r="P45" s="3"/>
      <c r="Q45" s="3">
        <v>32000</v>
      </c>
      <c r="R45" s="3">
        <v>32000</v>
      </c>
      <c r="S45" s="3"/>
      <c r="T45" s="17">
        <v>40500</v>
      </c>
      <c r="U45" s="17">
        <v>40500</v>
      </c>
      <c r="V45" s="3"/>
      <c r="W45" s="3"/>
      <c r="X45" s="3"/>
      <c r="Y45" s="28"/>
      <c r="Z45" s="3"/>
      <c r="AA45" s="3"/>
      <c r="AB45" s="3"/>
      <c r="AC45" s="3"/>
      <c r="AD45" s="3"/>
      <c r="AE45" s="3"/>
      <c r="AF45" s="83"/>
      <c r="AG45" s="132"/>
      <c r="AH45" s="26">
        <v>32000</v>
      </c>
      <c r="AI45" s="26">
        <v>32000</v>
      </c>
      <c r="AJ45" s="26"/>
      <c r="AK45" s="17">
        <v>40500</v>
      </c>
      <c r="AL45" s="17">
        <v>40500</v>
      </c>
      <c r="AM45" s="26"/>
      <c r="AN45" s="26"/>
      <c r="AO45" s="26"/>
      <c r="AP45" s="28"/>
      <c r="AQ45" s="26"/>
      <c r="AR45" s="26"/>
      <c r="AS45" s="26"/>
      <c r="AT45" s="26"/>
      <c r="AU45" s="26"/>
      <c r="AV45" s="26"/>
    </row>
    <row r="46" spans="1:48" ht="20.25" customHeight="1">
      <c r="A46" s="18"/>
      <c r="B46" s="4"/>
      <c r="C46" s="19"/>
      <c r="D46" s="18"/>
      <c r="E46" s="58"/>
      <c r="F46" s="57"/>
      <c r="G46" s="58"/>
      <c r="H46" s="55"/>
      <c r="I46" s="55"/>
      <c r="J46" s="57"/>
      <c r="K46" s="58"/>
      <c r="L46" s="54"/>
      <c r="M46" s="53"/>
      <c r="N46" s="18">
        <f>SUM(N47+N48+N49)</f>
        <v>13676.1</v>
      </c>
      <c r="O46" s="18">
        <f aca="true" t="shared" si="9" ref="O46:AB46">SUM(O47+O48+O49)</f>
        <v>13676.1</v>
      </c>
      <c r="P46" s="18">
        <f t="shared" si="9"/>
        <v>0</v>
      </c>
      <c r="Q46" s="18">
        <f t="shared" si="9"/>
        <v>13196.8</v>
      </c>
      <c r="R46" s="18">
        <f t="shared" si="9"/>
        <v>13196.8</v>
      </c>
      <c r="S46" s="18">
        <f t="shared" si="9"/>
        <v>0</v>
      </c>
      <c r="T46" s="18">
        <f t="shared" si="9"/>
        <v>21175.5</v>
      </c>
      <c r="U46" s="18">
        <f t="shared" si="9"/>
        <v>21175.5</v>
      </c>
      <c r="V46" s="18">
        <f t="shared" si="9"/>
        <v>0</v>
      </c>
      <c r="W46" s="18">
        <f t="shared" si="9"/>
        <v>19775.5</v>
      </c>
      <c r="X46" s="18">
        <f t="shared" si="9"/>
        <v>19775.5</v>
      </c>
      <c r="Y46" s="18">
        <f t="shared" si="9"/>
        <v>0</v>
      </c>
      <c r="Z46" s="18">
        <f t="shared" si="9"/>
        <v>0</v>
      </c>
      <c r="AA46" s="18">
        <f t="shared" si="9"/>
        <v>0</v>
      </c>
      <c r="AB46" s="18">
        <f t="shared" si="9"/>
        <v>0</v>
      </c>
      <c r="AC46" s="18">
        <f>SUM(AC47+AC48+AC49)</f>
        <v>0</v>
      </c>
      <c r="AD46" s="18">
        <f>SUM(AD47+AD48+AD49)</f>
        <v>0</v>
      </c>
      <c r="AE46" s="18">
        <f>SUM(AE47+AE48+AE49)</f>
        <v>0</v>
      </c>
      <c r="AF46" s="12"/>
      <c r="AG46" s="58"/>
      <c r="AH46" s="24">
        <f>SUM(AH47+AH48+AH49)</f>
        <v>13676.1</v>
      </c>
      <c r="AI46" s="24">
        <f aca="true" t="shared" si="10" ref="AI46:AS46">SUM(AI47+AI48+AI49)</f>
        <v>13676.1</v>
      </c>
      <c r="AJ46" s="24">
        <f t="shared" si="10"/>
        <v>0</v>
      </c>
      <c r="AK46" s="24">
        <f t="shared" si="10"/>
        <v>21175.5</v>
      </c>
      <c r="AL46" s="24">
        <f t="shared" si="10"/>
        <v>21175.5</v>
      </c>
      <c r="AM46" s="24">
        <f t="shared" si="10"/>
        <v>0</v>
      </c>
      <c r="AN46" s="24">
        <f t="shared" si="10"/>
        <v>19775.5</v>
      </c>
      <c r="AO46" s="24">
        <f t="shared" si="10"/>
        <v>19775.5</v>
      </c>
      <c r="AP46" s="24">
        <f t="shared" si="10"/>
        <v>0</v>
      </c>
      <c r="AQ46" s="24">
        <f t="shared" si="10"/>
        <v>0</v>
      </c>
      <c r="AR46" s="24">
        <f t="shared" si="10"/>
        <v>0</v>
      </c>
      <c r="AS46" s="24">
        <f t="shared" si="10"/>
        <v>0</v>
      </c>
      <c r="AT46" s="24">
        <f>SUM(AT47+AT48+AT49)</f>
        <v>0</v>
      </c>
      <c r="AU46" s="24">
        <f>SUM(AU47+AU48+AU49)</f>
        <v>0</v>
      </c>
      <c r="AV46" s="24">
        <f>SUM(AV47+AV48+AV49)</f>
        <v>0</v>
      </c>
    </row>
    <row r="47" spans="1:48" ht="26.25" customHeight="1">
      <c r="A47" s="84" t="s">
        <v>96</v>
      </c>
      <c r="B47" s="91">
        <v>2105</v>
      </c>
      <c r="C47" s="10" t="s">
        <v>61</v>
      </c>
      <c r="D47" s="3">
        <v>414</v>
      </c>
      <c r="E47" s="84" t="s">
        <v>165</v>
      </c>
      <c r="F47" s="87" t="s">
        <v>161</v>
      </c>
      <c r="G47" s="87" t="s">
        <v>159</v>
      </c>
      <c r="H47" s="84" t="s">
        <v>162</v>
      </c>
      <c r="I47" s="84" t="s">
        <v>163</v>
      </c>
      <c r="J47" s="87" t="s">
        <v>164</v>
      </c>
      <c r="K47" s="84" t="s">
        <v>128</v>
      </c>
      <c r="L47" s="104" t="s">
        <v>120</v>
      </c>
      <c r="M47" s="90" t="s">
        <v>129</v>
      </c>
      <c r="N47" s="3">
        <f>676.1</f>
        <v>676.1</v>
      </c>
      <c r="O47" s="3">
        <f>676.1</f>
        <v>676.1</v>
      </c>
      <c r="P47" s="3"/>
      <c r="Q47" s="3">
        <f>196.8</f>
        <v>196.8</v>
      </c>
      <c r="R47" s="3">
        <f>196.8</f>
        <v>196.8</v>
      </c>
      <c r="S47" s="3"/>
      <c r="T47" s="3">
        <v>1400</v>
      </c>
      <c r="U47" s="3">
        <v>1400</v>
      </c>
      <c r="V47" s="3"/>
      <c r="W47" s="3"/>
      <c r="X47" s="3"/>
      <c r="Y47" s="3"/>
      <c r="Z47" s="3"/>
      <c r="AA47" s="3"/>
      <c r="AB47" s="3"/>
      <c r="AC47" s="3"/>
      <c r="AD47" s="3"/>
      <c r="AE47" s="3"/>
      <c r="AF47" s="81" t="s">
        <v>284</v>
      </c>
      <c r="AG47" s="130" t="s">
        <v>287</v>
      </c>
      <c r="AH47" s="26">
        <f>676.1</f>
        <v>676.1</v>
      </c>
      <c r="AI47" s="26">
        <f>676.1</f>
        <v>676.1</v>
      </c>
      <c r="AJ47" s="26"/>
      <c r="AK47" s="26">
        <v>1400</v>
      </c>
      <c r="AL47" s="26">
        <v>1400</v>
      </c>
      <c r="AM47" s="26"/>
      <c r="AN47" s="26"/>
      <c r="AO47" s="26"/>
      <c r="AP47" s="26"/>
      <c r="AQ47" s="26"/>
      <c r="AR47" s="26"/>
      <c r="AS47" s="26"/>
      <c r="AT47" s="26"/>
      <c r="AU47" s="26"/>
      <c r="AV47" s="26"/>
    </row>
    <row r="48" spans="1:48" ht="26.25" customHeight="1">
      <c r="A48" s="84"/>
      <c r="B48" s="91"/>
      <c r="C48" s="10" t="s">
        <v>61</v>
      </c>
      <c r="D48" s="3">
        <v>244</v>
      </c>
      <c r="E48" s="84"/>
      <c r="F48" s="87"/>
      <c r="G48" s="84"/>
      <c r="H48" s="84"/>
      <c r="I48" s="84"/>
      <c r="J48" s="87"/>
      <c r="K48" s="84"/>
      <c r="L48" s="104"/>
      <c r="M48" s="90"/>
      <c r="N48" s="3"/>
      <c r="O48" s="3"/>
      <c r="P48" s="3"/>
      <c r="Q48" s="3"/>
      <c r="R48" s="3"/>
      <c r="S48" s="3"/>
      <c r="T48" s="3"/>
      <c r="U48" s="3"/>
      <c r="V48" s="3"/>
      <c r="W48" s="3"/>
      <c r="X48" s="3"/>
      <c r="Y48" s="3"/>
      <c r="Z48" s="3"/>
      <c r="AA48" s="3"/>
      <c r="AB48" s="3"/>
      <c r="AC48" s="3"/>
      <c r="AD48" s="3"/>
      <c r="AE48" s="3"/>
      <c r="AF48" s="82"/>
      <c r="AG48" s="131"/>
      <c r="AH48" s="26"/>
      <c r="AI48" s="26"/>
      <c r="AJ48" s="26"/>
      <c r="AK48" s="26"/>
      <c r="AL48" s="26"/>
      <c r="AM48" s="26"/>
      <c r="AN48" s="26"/>
      <c r="AO48" s="26"/>
      <c r="AP48" s="26"/>
      <c r="AQ48" s="26"/>
      <c r="AR48" s="26"/>
      <c r="AS48" s="26"/>
      <c r="AT48" s="26"/>
      <c r="AU48" s="26"/>
      <c r="AV48" s="26"/>
    </row>
    <row r="49" spans="1:48" ht="19.5" customHeight="1">
      <c r="A49" s="84"/>
      <c r="B49" s="91"/>
      <c r="C49" s="10" t="s">
        <v>61</v>
      </c>
      <c r="D49" s="3">
        <v>243</v>
      </c>
      <c r="E49" s="84"/>
      <c r="F49" s="87"/>
      <c r="G49" s="84"/>
      <c r="H49" s="84"/>
      <c r="I49" s="84"/>
      <c r="J49" s="87"/>
      <c r="K49" s="84"/>
      <c r="L49" s="104"/>
      <c r="M49" s="90"/>
      <c r="N49" s="3">
        <f>13000</f>
        <v>13000</v>
      </c>
      <c r="O49" s="3">
        <f>13000</f>
        <v>13000</v>
      </c>
      <c r="P49" s="3"/>
      <c r="Q49" s="3">
        <v>13000</v>
      </c>
      <c r="R49" s="3">
        <v>13000</v>
      </c>
      <c r="S49" s="3"/>
      <c r="T49" s="3">
        <v>19775.5</v>
      </c>
      <c r="U49" s="3">
        <v>19775.5</v>
      </c>
      <c r="V49" s="3"/>
      <c r="W49" s="3">
        <v>19775.5</v>
      </c>
      <c r="X49" s="3">
        <v>19775.5</v>
      </c>
      <c r="Y49" s="3"/>
      <c r="Z49" s="3"/>
      <c r="AA49" s="3"/>
      <c r="AB49" s="3"/>
      <c r="AC49" s="3"/>
      <c r="AD49" s="3"/>
      <c r="AE49" s="3"/>
      <c r="AF49" s="83"/>
      <c r="AG49" s="132"/>
      <c r="AH49" s="26">
        <f>13000</f>
        <v>13000</v>
      </c>
      <c r="AI49" s="26">
        <f>13000</f>
        <v>13000</v>
      </c>
      <c r="AJ49" s="26"/>
      <c r="AK49" s="26">
        <v>19775.5</v>
      </c>
      <c r="AL49" s="26">
        <v>19775.5</v>
      </c>
      <c r="AM49" s="26"/>
      <c r="AN49" s="26">
        <v>19775.5</v>
      </c>
      <c r="AO49" s="26">
        <v>19775.5</v>
      </c>
      <c r="AP49" s="26"/>
      <c r="AQ49" s="26"/>
      <c r="AR49" s="26"/>
      <c r="AS49" s="26"/>
      <c r="AT49" s="26"/>
      <c r="AU49" s="26"/>
      <c r="AV49" s="26"/>
    </row>
    <row r="50" spans="1:48" ht="16.5" customHeight="1">
      <c r="A50" s="18"/>
      <c r="B50" s="4"/>
      <c r="C50" s="10"/>
      <c r="D50" s="3"/>
      <c r="E50" s="54"/>
      <c r="F50" s="53"/>
      <c r="G50" s="54"/>
      <c r="H50" s="54"/>
      <c r="I50" s="54"/>
      <c r="J50" s="53"/>
      <c r="K50" s="54"/>
      <c r="L50" s="56"/>
      <c r="M50" s="51"/>
      <c r="N50" s="3">
        <f>SUM(N51+N52+N53+N54)</f>
        <v>102821.9</v>
      </c>
      <c r="O50" s="3">
        <f aca="true" t="shared" si="11" ref="O50:AB50">SUM(O51+O52+O53+O54)</f>
        <v>54046.4</v>
      </c>
      <c r="P50" s="3">
        <f t="shared" si="11"/>
        <v>0</v>
      </c>
      <c r="Q50" s="3">
        <f t="shared" si="11"/>
        <v>99776.90000000001</v>
      </c>
      <c r="R50" s="3">
        <f t="shared" si="11"/>
        <v>51135.4</v>
      </c>
      <c r="S50" s="3">
        <f t="shared" si="11"/>
        <v>0</v>
      </c>
      <c r="T50" s="3">
        <f t="shared" si="11"/>
        <v>41961.6</v>
      </c>
      <c r="U50" s="3">
        <f t="shared" si="11"/>
        <v>11461.6</v>
      </c>
      <c r="V50" s="3">
        <f t="shared" si="11"/>
        <v>0</v>
      </c>
      <c r="W50" s="3">
        <f t="shared" si="11"/>
        <v>19737</v>
      </c>
      <c r="X50" s="3">
        <f t="shared" si="11"/>
        <v>0</v>
      </c>
      <c r="Y50" s="3">
        <f t="shared" si="11"/>
        <v>0</v>
      </c>
      <c r="Z50" s="3">
        <f t="shared" si="11"/>
        <v>19737</v>
      </c>
      <c r="AA50" s="3">
        <f t="shared" si="11"/>
        <v>0</v>
      </c>
      <c r="AB50" s="3">
        <f t="shared" si="11"/>
        <v>0</v>
      </c>
      <c r="AC50" s="3">
        <f>SUM(AC51+AC52+AC53+AC54)</f>
        <v>19737</v>
      </c>
      <c r="AD50" s="3">
        <f>SUM(AD51+AD52+AD53+AD54)</f>
        <v>0</v>
      </c>
      <c r="AE50" s="3">
        <f>SUM(AE51+AE52+AE53+AE54)</f>
        <v>0</v>
      </c>
      <c r="AF50" s="12"/>
      <c r="AG50" s="58"/>
      <c r="AH50" s="26">
        <f>SUM(AH51+AH52+AH53+AH54)</f>
        <v>102821.9</v>
      </c>
      <c r="AI50" s="26">
        <f aca="true" t="shared" si="12" ref="AI50:AS50">SUM(AI51+AI52+AI53+AI54)</f>
        <v>54046.4</v>
      </c>
      <c r="AJ50" s="26">
        <f t="shared" si="12"/>
        <v>0</v>
      </c>
      <c r="AK50" s="26">
        <f t="shared" si="12"/>
        <v>41961.6</v>
      </c>
      <c r="AL50" s="26">
        <f t="shared" si="12"/>
        <v>11461.6</v>
      </c>
      <c r="AM50" s="26">
        <f t="shared" si="12"/>
        <v>0</v>
      </c>
      <c r="AN50" s="26">
        <f t="shared" si="12"/>
        <v>19737</v>
      </c>
      <c r="AO50" s="26">
        <f t="shared" si="12"/>
        <v>0</v>
      </c>
      <c r="AP50" s="26">
        <f t="shared" si="12"/>
        <v>0</v>
      </c>
      <c r="AQ50" s="26">
        <f t="shared" si="12"/>
        <v>19737</v>
      </c>
      <c r="AR50" s="26">
        <f t="shared" si="12"/>
        <v>0</v>
      </c>
      <c r="AS50" s="26">
        <f t="shared" si="12"/>
        <v>0</v>
      </c>
      <c r="AT50" s="26">
        <f>SUM(AT51+AT52+AT53+AT54)</f>
        <v>19737</v>
      </c>
      <c r="AU50" s="26">
        <f>SUM(AU51+AU52+AU53+AU54)</f>
        <v>0</v>
      </c>
      <c r="AV50" s="26">
        <f>SUM(AV51+AV52+AV53+AV54)</f>
        <v>0</v>
      </c>
    </row>
    <row r="51" spans="1:48" ht="48" customHeight="1">
      <c r="A51" s="84" t="s">
        <v>53</v>
      </c>
      <c r="B51" s="91">
        <v>2106</v>
      </c>
      <c r="C51" s="10" t="s">
        <v>54</v>
      </c>
      <c r="D51" s="3">
        <v>243</v>
      </c>
      <c r="E51" s="91" t="s">
        <v>165</v>
      </c>
      <c r="F51" s="87" t="s">
        <v>166</v>
      </c>
      <c r="G51" s="87" t="s">
        <v>159</v>
      </c>
      <c r="H51" s="84"/>
      <c r="I51" s="84"/>
      <c r="J51" s="87"/>
      <c r="K51" s="84" t="s">
        <v>130</v>
      </c>
      <c r="L51" s="84" t="s">
        <v>120</v>
      </c>
      <c r="M51" s="84" t="s">
        <v>126</v>
      </c>
      <c r="N51" s="3">
        <f>48116+181.3</f>
        <v>48297.3</v>
      </c>
      <c r="O51" s="3">
        <f>48116+181.3</f>
        <v>48297.3</v>
      </c>
      <c r="P51" s="3"/>
      <c r="Q51" s="3">
        <f>45205+181.3</f>
        <v>45386.3</v>
      </c>
      <c r="R51" s="3">
        <f>45205+181.3</f>
        <v>45386.3</v>
      </c>
      <c r="S51" s="3"/>
      <c r="T51" s="3">
        <v>11461.6</v>
      </c>
      <c r="U51" s="3">
        <v>11461.6</v>
      </c>
      <c r="V51" s="3"/>
      <c r="W51" s="3">
        <v>0</v>
      </c>
      <c r="X51" s="3"/>
      <c r="Y51" s="28"/>
      <c r="Z51" s="3">
        <v>0</v>
      </c>
      <c r="AA51" s="3"/>
      <c r="AB51" s="3"/>
      <c r="AC51" s="3">
        <v>0</v>
      </c>
      <c r="AD51" s="3"/>
      <c r="AE51" s="3"/>
      <c r="AF51" s="81" t="s">
        <v>284</v>
      </c>
      <c r="AG51" s="130" t="s">
        <v>287</v>
      </c>
      <c r="AH51" s="26">
        <f>48116+181.3</f>
        <v>48297.3</v>
      </c>
      <c r="AI51" s="26">
        <f>48116+181.3</f>
        <v>48297.3</v>
      </c>
      <c r="AJ51" s="26"/>
      <c r="AK51" s="26">
        <v>11461.6</v>
      </c>
      <c r="AL51" s="26">
        <v>11461.6</v>
      </c>
      <c r="AM51" s="26"/>
      <c r="AN51" s="26">
        <v>0</v>
      </c>
      <c r="AO51" s="26"/>
      <c r="AP51" s="28"/>
      <c r="AQ51" s="26">
        <v>0</v>
      </c>
      <c r="AR51" s="26"/>
      <c r="AS51" s="26"/>
      <c r="AT51" s="26">
        <v>0</v>
      </c>
      <c r="AU51" s="26"/>
      <c r="AV51" s="26"/>
    </row>
    <row r="52" spans="1:48" ht="54.75" customHeight="1">
      <c r="A52" s="84"/>
      <c r="B52" s="91"/>
      <c r="C52" s="10" t="s">
        <v>54</v>
      </c>
      <c r="D52" s="3">
        <v>244</v>
      </c>
      <c r="E52" s="91"/>
      <c r="F52" s="87"/>
      <c r="G52" s="84"/>
      <c r="H52" s="84"/>
      <c r="I52" s="84"/>
      <c r="J52" s="87"/>
      <c r="K52" s="84"/>
      <c r="L52" s="84"/>
      <c r="M52" s="84"/>
      <c r="N52" s="3">
        <f>3926.2+4619.5+13392.9+243.1+2159.5+19583.2+4851.1</f>
        <v>48775.49999999999</v>
      </c>
      <c r="O52" s="3"/>
      <c r="P52" s="3"/>
      <c r="Q52" s="3">
        <f>3926.2+4560.3+13392.9+240+2159.5+19565.8+4796.8</f>
        <v>48641.5</v>
      </c>
      <c r="R52" s="3"/>
      <c r="S52" s="3"/>
      <c r="T52" s="3">
        <v>30500</v>
      </c>
      <c r="U52" s="3"/>
      <c r="V52" s="3"/>
      <c r="W52" s="3">
        <v>19737</v>
      </c>
      <c r="X52" s="3"/>
      <c r="Y52" s="3"/>
      <c r="Z52" s="3">
        <v>19737</v>
      </c>
      <c r="AA52" s="3"/>
      <c r="AB52" s="3"/>
      <c r="AC52" s="3">
        <v>19737</v>
      </c>
      <c r="AD52" s="3"/>
      <c r="AE52" s="3"/>
      <c r="AF52" s="82"/>
      <c r="AG52" s="131"/>
      <c r="AH52" s="26">
        <f>3926.2+4619.5+13392.9+243.1+2159.5+19583.2+4851.1</f>
        <v>48775.49999999999</v>
      </c>
      <c r="AI52" s="26"/>
      <c r="AJ52" s="26"/>
      <c r="AK52" s="26">
        <v>30500</v>
      </c>
      <c r="AL52" s="26"/>
      <c r="AM52" s="26"/>
      <c r="AN52" s="26">
        <v>19737</v>
      </c>
      <c r="AO52" s="26"/>
      <c r="AP52" s="26"/>
      <c r="AQ52" s="26">
        <v>19737</v>
      </c>
      <c r="AR52" s="26"/>
      <c r="AS52" s="26"/>
      <c r="AT52" s="26">
        <v>19737</v>
      </c>
      <c r="AU52" s="26"/>
      <c r="AV52" s="26"/>
    </row>
    <row r="53" spans="1:48" ht="39.75" customHeight="1">
      <c r="A53" s="84"/>
      <c r="B53" s="91"/>
      <c r="C53" s="10" t="s">
        <v>57</v>
      </c>
      <c r="D53" s="3">
        <v>244</v>
      </c>
      <c r="E53" s="91"/>
      <c r="F53" s="87"/>
      <c r="G53" s="84"/>
      <c r="H53" s="84"/>
      <c r="I53" s="84"/>
      <c r="J53" s="87"/>
      <c r="K53" s="84"/>
      <c r="L53" s="84"/>
      <c r="M53" s="84"/>
      <c r="N53" s="3">
        <v>5749.1</v>
      </c>
      <c r="O53" s="3">
        <v>5749.1</v>
      </c>
      <c r="P53" s="3"/>
      <c r="Q53" s="3">
        <v>5749.1</v>
      </c>
      <c r="R53" s="3">
        <v>5749.1</v>
      </c>
      <c r="S53" s="3"/>
      <c r="T53" s="3"/>
      <c r="U53" s="3"/>
      <c r="V53" s="3"/>
      <c r="W53" s="3"/>
      <c r="X53" s="3"/>
      <c r="Y53" s="3"/>
      <c r="Z53" s="3"/>
      <c r="AA53" s="3"/>
      <c r="AB53" s="3"/>
      <c r="AC53" s="3"/>
      <c r="AD53" s="3"/>
      <c r="AE53" s="3"/>
      <c r="AF53" s="83"/>
      <c r="AG53" s="132"/>
      <c r="AH53" s="26">
        <v>5749.1</v>
      </c>
      <c r="AI53" s="26">
        <v>5749.1</v>
      </c>
      <c r="AJ53" s="26"/>
      <c r="AK53" s="26"/>
      <c r="AL53" s="26"/>
      <c r="AM53" s="26"/>
      <c r="AN53" s="26"/>
      <c r="AO53" s="26"/>
      <c r="AP53" s="26"/>
      <c r="AQ53" s="26"/>
      <c r="AR53" s="26"/>
      <c r="AS53" s="26"/>
      <c r="AT53" s="26"/>
      <c r="AU53" s="26"/>
      <c r="AV53" s="26"/>
    </row>
    <row r="54" spans="1:48" ht="14.25" customHeight="1">
      <c r="A54" s="84"/>
      <c r="B54" s="91"/>
      <c r="C54" s="10" t="s">
        <v>57</v>
      </c>
      <c r="D54" s="3">
        <v>853</v>
      </c>
      <c r="E54" s="91"/>
      <c r="F54" s="87"/>
      <c r="G54" s="84"/>
      <c r="H54" s="84"/>
      <c r="I54" s="84"/>
      <c r="J54" s="87"/>
      <c r="K54" s="84"/>
      <c r="L54" s="84"/>
      <c r="M54" s="84"/>
      <c r="N54" s="3"/>
      <c r="O54" s="3"/>
      <c r="P54" s="3"/>
      <c r="Q54" s="3"/>
      <c r="R54" s="3"/>
      <c r="S54" s="3"/>
      <c r="T54" s="3"/>
      <c r="U54" s="3"/>
      <c r="V54" s="3"/>
      <c r="W54" s="3"/>
      <c r="X54" s="3"/>
      <c r="Y54" s="3"/>
      <c r="Z54" s="3"/>
      <c r="AA54" s="3"/>
      <c r="AB54" s="3"/>
      <c r="AC54" s="3"/>
      <c r="AD54" s="3"/>
      <c r="AE54" s="3"/>
      <c r="AF54" s="12"/>
      <c r="AG54" s="58"/>
      <c r="AH54" s="26"/>
      <c r="AI54" s="26"/>
      <c r="AJ54" s="26"/>
      <c r="AK54" s="26"/>
      <c r="AL54" s="26"/>
      <c r="AM54" s="26"/>
      <c r="AN54" s="26"/>
      <c r="AO54" s="26"/>
      <c r="AP54" s="26"/>
      <c r="AQ54" s="26"/>
      <c r="AR54" s="26"/>
      <c r="AS54" s="26"/>
      <c r="AT54" s="26"/>
      <c r="AU54" s="26"/>
      <c r="AV54" s="26"/>
    </row>
    <row r="55" spans="1:48" ht="18.75" customHeight="1">
      <c r="A55" s="18"/>
      <c r="B55" s="4"/>
      <c r="C55" s="10"/>
      <c r="D55" s="3"/>
      <c r="E55" s="54"/>
      <c r="F55" s="53"/>
      <c r="G55" s="54"/>
      <c r="H55" s="54"/>
      <c r="I55" s="54"/>
      <c r="J55" s="53"/>
      <c r="K55" s="54"/>
      <c r="L55" s="54"/>
      <c r="M55" s="54"/>
      <c r="N55" s="3">
        <f>N56+N57+N58+N59+N60+N61+N62+N65</f>
        <v>37686.8</v>
      </c>
      <c r="O55" s="3">
        <f aca="true" t="shared" si="13" ref="O55:AB55">O56+O57+O58+O59+O60+O61+O62+O65</f>
        <v>13135.099999999999</v>
      </c>
      <c r="P55" s="3">
        <f t="shared" si="13"/>
        <v>0</v>
      </c>
      <c r="Q55" s="3">
        <f t="shared" si="13"/>
        <v>33388.8</v>
      </c>
      <c r="R55" s="3">
        <f t="shared" si="13"/>
        <v>13129.499999999998</v>
      </c>
      <c r="S55" s="3">
        <f t="shared" si="13"/>
        <v>0</v>
      </c>
      <c r="T55" s="3">
        <f t="shared" si="13"/>
        <v>31356.4</v>
      </c>
      <c r="U55" s="3">
        <f t="shared" si="13"/>
        <v>13588.7</v>
      </c>
      <c r="V55" s="3">
        <f t="shared" si="13"/>
        <v>0</v>
      </c>
      <c r="W55" s="3">
        <f t="shared" si="13"/>
        <v>21270</v>
      </c>
      <c r="X55" s="3">
        <f t="shared" si="13"/>
        <v>1500</v>
      </c>
      <c r="Y55" s="3">
        <f t="shared" si="13"/>
        <v>0</v>
      </c>
      <c r="Z55" s="3">
        <f t="shared" si="13"/>
        <v>24708</v>
      </c>
      <c r="AA55" s="3">
        <f t="shared" si="13"/>
        <v>4938</v>
      </c>
      <c r="AB55" s="3">
        <f t="shared" si="13"/>
        <v>0</v>
      </c>
      <c r="AC55" s="3">
        <f>AC56+AC57+AC58+AC59+AC60+AC61+AC62+AC65</f>
        <v>24708</v>
      </c>
      <c r="AD55" s="3">
        <f>AD56+AD57+AD58+AD59+AD60+AD61+AD62+AD65</f>
        <v>4938</v>
      </c>
      <c r="AE55" s="3">
        <f>AE56+AE57+AE58+AE59+AE60+AE61+AE62+AE65</f>
        <v>0</v>
      </c>
      <c r="AF55" s="12"/>
      <c r="AG55" s="58"/>
      <c r="AH55" s="26">
        <f>AH56+AH57+AH58+AH59+AH60+AH61+AH62+AH65</f>
        <v>37686.8</v>
      </c>
      <c r="AI55" s="26">
        <f aca="true" t="shared" si="14" ref="AI55:AS55">AI56+AI57+AI58+AI59+AI60+AI61+AI62+AI65</f>
        <v>13135.099999999999</v>
      </c>
      <c r="AJ55" s="26">
        <f t="shared" si="14"/>
        <v>0</v>
      </c>
      <c r="AK55" s="26">
        <f t="shared" si="14"/>
        <v>31356.4</v>
      </c>
      <c r="AL55" s="26">
        <f t="shared" si="14"/>
        <v>13588.7</v>
      </c>
      <c r="AM55" s="26">
        <f t="shared" si="14"/>
        <v>0</v>
      </c>
      <c r="AN55" s="26">
        <f t="shared" si="14"/>
        <v>21270</v>
      </c>
      <c r="AO55" s="26">
        <f t="shared" si="14"/>
        <v>1500</v>
      </c>
      <c r="AP55" s="26">
        <f t="shared" si="14"/>
        <v>0</v>
      </c>
      <c r="AQ55" s="26">
        <f t="shared" si="14"/>
        <v>24708</v>
      </c>
      <c r="AR55" s="26">
        <f t="shared" si="14"/>
        <v>4938</v>
      </c>
      <c r="AS55" s="26">
        <f t="shared" si="14"/>
        <v>0</v>
      </c>
      <c r="AT55" s="26">
        <f>AT56+AT57+AT58+AT59+AT60+AT61+AT62+AT65</f>
        <v>24708</v>
      </c>
      <c r="AU55" s="26">
        <f>AU56+AU57+AU58+AU59+AU60+AU61+AU62+AU65</f>
        <v>4938</v>
      </c>
      <c r="AV55" s="26">
        <f>AV56+AV57+AV58+AV59+AV60+AV61+AV62+AV65</f>
        <v>0</v>
      </c>
    </row>
    <row r="56" spans="1:48" ht="33.75" customHeight="1">
      <c r="A56" s="85" t="s">
        <v>59</v>
      </c>
      <c r="B56" s="81">
        <v>2107</v>
      </c>
      <c r="C56" s="10" t="s">
        <v>22</v>
      </c>
      <c r="D56" s="3">
        <v>243</v>
      </c>
      <c r="E56" s="81" t="s">
        <v>165</v>
      </c>
      <c r="F56" s="72" t="s">
        <v>167</v>
      </c>
      <c r="G56" s="64" t="s">
        <v>159</v>
      </c>
      <c r="H56" s="81" t="s">
        <v>169</v>
      </c>
      <c r="I56" s="81" t="s">
        <v>168</v>
      </c>
      <c r="J56" s="92" t="s">
        <v>170</v>
      </c>
      <c r="K56" s="64" t="s">
        <v>131</v>
      </c>
      <c r="L56" s="100" t="s">
        <v>120</v>
      </c>
      <c r="M56" s="92" t="s">
        <v>126</v>
      </c>
      <c r="N56" s="3">
        <f>581.5</f>
        <v>581.5</v>
      </c>
      <c r="O56" s="3">
        <f>581.5</f>
        <v>581.5</v>
      </c>
      <c r="P56" s="3"/>
      <c r="Q56" s="3">
        <f>575.9</f>
        <v>575.9</v>
      </c>
      <c r="R56" s="3">
        <f>575.9</f>
        <v>575.9</v>
      </c>
      <c r="S56" s="3"/>
      <c r="T56" s="3">
        <v>500</v>
      </c>
      <c r="U56" s="3">
        <v>500</v>
      </c>
      <c r="V56" s="3"/>
      <c r="W56" s="3"/>
      <c r="X56" s="3"/>
      <c r="Y56" s="3"/>
      <c r="Z56" s="3"/>
      <c r="AA56" s="3"/>
      <c r="AB56" s="3"/>
      <c r="AC56" s="3"/>
      <c r="AD56" s="3"/>
      <c r="AE56" s="3"/>
      <c r="AF56" s="81" t="s">
        <v>284</v>
      </c>
      <c r="AG56" s="130" t="s">
        <v>287</v>
      </c>
      <c r="AH56" s="26">
        <f>581.5</f>
        <v>581.5</v>
      </c>
      <c r="AI56" s="26">
        <f>581.5</f>
        <v>581.5</v>
      </c>
      <c r="AJ56" s="26"/>
      <c r="AK56" s="26">
        <v>500</v>
      </c>
      <c r="AL56" s="26">
        <v>500</v>
      </c>
      <c r="AM56" s="26"/>
      <c r="AN56" s="26"/>
      <c r="AO56" s="26"/>
      <c r="AP56" s="26"/>
      <c r="AQ56" s="26"/>
      <c r="AR56" s="26"/>
      <c r="AS56" s="26"/>
      <c r="AT56" s="26"/>
      <c r="AU56" s="26"/>
      <c r="AV56" s="26"/>
    </row>
    <row r="57" spans="1:48" ht="38.25" customHeight="1">
      <c r="A57" s="99"/>
      <c r="B57" s="82"/>
      <c r="C57" s="10" t="s">
        <v>22</v>
      </c>
      <c r="D57" s="3">
        <v>244</v>
      </c>
      <c r="E57" s="82"/>
      <c r="F57" s="73"/>
      <c r="G57" s="65"/>
      <c r="H57" s="82"/>
      <c r="I57" s="82"/>
      <c r="J57" s="93"/>
      <c r="K57" s="65"/>
      <c r="L57" s="101"/>
      <c r="M57" s="93"/>
      <c r="N57" s="3">
        <v>11475.1</v>
      </c>
      <c r="O57" s="3"/>
      <c r="P57" s="3"/>
      <c r="Q57" s="3">
        <v>11264.5</v>
      </c>
      <c r="R57" s="3"/>
      <c r="S57" s="3"/>
      <c r="T57" s="3">
        <v>10050</v>
      </c>
      <c r="U57" s="3"/>
      <c r="V57" s="3"/>
      <c r="W57" s="3">
        <v>12796</v>
      </c>
      <c r="X57" s="3"/>
      <c r="Y57" s="3"/>
      <c r="Z57" s="3">
        <v>12796</v>
      </c>
      <c r="AA57" s="3"/>
      <c r="AB57" s="3"/>
      <c r="AC57" s="3">
        <v>12796</v>
      </c>
      <c r="AD57" s="3"/>
      <c r="AE57" s="3"/>
      <c r="AF57" s="82"/>
      <c r="AG57" s="131"/>
      <c r="AH57" s="26">
        <v>11475.1</v>
      </c>
      <c r="AI57" s="26"/>
      <c r="AJ57" s="26"/>
      <c r="AK57" s="26">
        <v>10050</v>
      </c>
      <c r="AL57" s="26"/>
      <c r="AM57" s="26"/>
      <c r="AN57" s="26">
        <v>12796</v>
      </c>
      <c r="AO57" s="26"/>
      <c r="AP57" s="26"/>
      <c r="AQ57" s="26">
        <v>12796</v>
      </c>
      <c r="AR57" s="26"/>
      <c r="AS57" s="26"/>
      <c r="AT57" s="26">
        <v>12796</v>
      </c>
      <c r="AU57" s="26"/>
      <c r="AV57" s="26"/>
    </row>
    <row r="58" spans="1:48" ht="24.75" customHeight="1">
      <c r="A58" s="99"/>
      <c r="B58" s="82"/>
      <c r="C58" s="10" t="s">
        <v>22</v>
      </c>
      <c r="D58" s="3">
        <v>412</v>
      </c>
      <c r="E58" s="82"/>
      <c r="F58" s="73"/>
      <c r="G58" s="65"/>
      <c r="H58" s="82"/>
      <c r="I58" s="82"/>
      <c r="J58" s="93"/>
      <c r="K58" s="65"/>
      <c r="L58" s="101"/>
      <c r="M58" s="93"/>
      <c r="N58" s="3">
        <f>2811.5+312.4+1141+1669.7+6002+617</f>
        <v>12553.599999999999</v>
      </c>
      <c r="O58" s="3">
        <f>2811.5+312.4+1141+1669.7+6002+617</f>
        <v>12553.599999999999</v>
      </c>
      <c r="P58" s="3"/>
      <c r="Q58" s="3">
        <f>2811.5+312.4+1141+1669.7+6002+617</f>
        <v>12553.599999999999</v>
      </c>
      <c r="R58" s="3">
        <f>2811.5+312.4+1141+1669.7+6002+617</f>
        <v>12553.599999999999</v>
      </c>
      <c r="S58" s="3"/>
      <c r="T58" s="3">
        <f>11188.7+1900</f>
        <v>13088.7</v>
      </c>
      <c r="U58" s="3">
        <f>11188.7+1900</f>
        <v>13088.7</v>
      </c>
      <c r="V58" s="3"/>
      <c r="W58" s="3">
        <f>1500</f>
        <v>1500</v>
      </c>
      <c r="X58" s="3">
        <f>1500</f>
        <v>1500</v>
      </c>
      <c r="Y58" s="3"/>
      <c r="Z58" s="3">
        <f>3600+1338</f>
        <v>4938</v>
      </c>
      <c r="AA58" s="3">
        <f>3600+1338</f>
        <v>4938</v>
      </c>
      <c r="AB58" s="3"/>
      <c r="AC58" s="3">
        <f>3600+1338</f>
        <v>4938</v>
      </c>
      <c r="AD58" s="3">
        <f>3600+1338</f>
        <v>4938</v>
      </c>
      <c r="AE58" s="3"/>
      <c r="AF58" s="82"/>
      <c r="AG58" s="131"/>
      <c r="AH58" s="26">
        <f>2811.5+312.4+1141+1669.7+6002+617</f>
        <v>12553.599999999999</v>
      </c>
      <c r="AI58" s="26">
        <f>2811.5+312.4+1141+1669.7+6002+617</f>
        <v>12553.599999999999</v>
      </c>
      <c r="AJ58" s="26"/>
      <c r="AK58" s="26">
        <f>11188.7+1900</f>
        <v>13088.7</v>
      </c>
      <c r="AL58" s="26">
        <f>11188.7+1900</f>
        <v>13088.7</v>
      </c>
      <c r="AM58" s="26"/>
      <c r="AN58" s="26">
        <f>1500</f>
        <v>1500</v>
      </c>
      <c r="AO58" s="26">
        <f>1500</f>
        <v>1500</v>
      </c>
      <c r="AP58" s="26"/>
      <c r="AQ58" s="26">
        <f>3600+1338</f>
        <v>4938</v>
      </c>
      <c r="AR58" s="26">
        <f>3600+1338</f>
        <v>4938</v>
      </c>
      <c r="AS58" s="26"/>
      <c r="AT58" s="26">
        <f>3600+1338</f>
        <v>4938</v>
      </c>
      <c r="AU58" s="26">
        <f>3600+1338</f>
        <v>4938</v>
      </c>
      <c r="AV58" s="26"/>
    </row>
    <row r="59" spans="1:48" ht="28.5" customHeight="1">
      <c r="A59" s="99"/>
      <c r="B59" s="82"/>
      <c r="C59" s="10" t="s">
        <v>22</v>
      </c>
      <c r="D59" s="3">
        <v>810</v>
      </c>
      <c r="E59" s="82"/>
      <c r="F59" s="73"/>
      <c r="G59" s="65"/>
      <c r="H59" s="82"/>
      <c r="I59" s="82"/>
      <c r="J59" s="93"/>
      <c r="K59" s="65"/>
      <c r="L59" s="101"/>
      <c r="M59" s="93"/>
      <c r="N59" s="3"/>
      <c r="O59" s="3"/>
      <c r="P59" s="3"/>
      <c r="Q59" s="3"/>
      <c r="R59" s="3"/>
      <c r="S59" s="3"/>
      <c r="T59" s="3"/>
      <c r="U59" s="3"/>
      <c r="V59" s="3"/>
      <c r="W59" s="3"/>
      <c r="X59" s="3"/>
      <c r="Y59" s="3"/>
      <c r="Z59" s="3"/>
      <c r="AA59" s="3"/>
      <c r="AB59" s="3"/>
      <c r="AC59" s="3"/>
      <c r="AD59" s="3"/>
      <c r="AE59" s="3"/>
      <c r="AF59" s="82"/>
      <c r="AG59" s="131"/>
      <c r="AH59" s="26"/>
      <c r="AI59" s="26"/>
      <c r="AJ59" s="26"/>
      <c r="AK59" s="26"/>
      <c r="AL59" s="26"/>
      <c r="AM59" s="26"/>
      <c r="AN59" s="26"/>
      <c r="AO59" s="26"/>
      <c r="AP59" s="26"/>
      <c r="AQ59" s="26"/>
      <c r="AR59" s="26"/>
      <c r="AS59" s="26"/>
      <c r="AT59" s="26"/>
      <c r="AU59" s="26"/>
      <c r="AV59" s="26"/>
    </row>
    <row r="60" spans="1:48" ht="28.5" customHeight="1">
      <c r="A60" s="99"/>
      <c r="B60" s="82"/>
      <c r="C60" s="10" t="s">
        <v>22</v>
      </c>
      <c r="D60" s="3">
        <v>811</v>
      </c>
      <c r="E60" s="82"/>
      <c r="F60" s="73"/>
      <c r="G60" s="65"/>
      <c r="H60" s="82"/>
      <c r="I60" s="82"/>
      <c r="J60" s="93"/>
      <c r="K60" s="65"/>
      <c r="L60" s="101"/>
      <c r="M60" s="93"/>
      <c r="N60" s="3"/>
      <c r="O60" s="3"/>
      <c r="P60" s="3"/>
      <c r="Q60" s="3"/>
      <c r="R60" s="3"/>
      <c r="S60" s="3"/>
      <c r="T60" s="3">
        <v>6500</v>
      </c>
      <c r="U60" s="3"/>
      <c r="V60" s="3"/>
      <c r="W60" s="3">
        <v>5756.3</v>
      </c>
      <c r="X60" s="3"/>
      <c r="Y60" s="28"/>
      <c r="Z60" s="3">
        <v>5756.3</v>
      </c>
      <c r="AA60" s="3"/>
      <c r="AB60" s="3"/>
      <c r="AC60" s="3">
        <v>5756.3</v>
      </c>
      <c r="AD60" s="3"/>
      <c r="AE60" s="3"/>
      <c r="AF60" s="82"/>
      <c r="AG60" s="131"/>
      <c r="AH60" s="26"/>
      <c r="AI60" s="26"/>
      <c r="AJ60" s="26"/>
      <c r="AK60" s="26">
        <v>6500</v>
      </c>
      <c r="AL60" s="26"/>
      <c r="AM60" s="26"/>
      <c r="AN60" s="26">
        <v>5756.3</v>
      </c>
      <c r="AO60" s="26"/>
      <c r="AP60" s="28"/>
      <c r="AQ60" s="26">
        <v>5756.3</v>
      </c>
      <c r="AR60" s="26"/>
      <c r="AS60" s="26"/>
      <c r="AT60" s="26">
        <v>5756.3</v>
      </c>
      <c r="AU60" s="26"/>
      <c r="AV60" s="26"/>
    </row>
    <row r="61" spans="1:48" ht="28.5" customHeight="1">
      <c r="A61" s="99"/>
      <c r="B61" s="82"/>
      <c r="C61" s="10" t="s">
        <v>22</v>
      </c>
      <c r="D61" s="3">
        <v>814</v>
      </c>
      <c r="E61" s="82"/>
      <c r="F61" s="73"/>
      <c r="G61" s="65"/>
      <c r="H61" s="82"/>
      <c r="I61" s="82"/>
      <c r="J61" s="93"/>
      <c r="K61" s="65"/>
      <c r="L61" s="101"/>
      <c r="M61" s="93"/>
      <c r="N61" s="3">
        <f>2500+4081.8+4000</f>
        <v>10581.8</v>
      </c>
      <c r="O61" s="3"/>
      <c r="P61" s="3"/>
      <c r="Q61" s="14">
        <f>2500+4000</f>
        <v>6500</v>
      </c>
      <c r="R61" s="3"/>
      <c r="S61" s="3"/>
      <c r="T61" s="3"/>
      <c r="U61" s="3"/>
      <c r="V61" s="3"/>
      <c r="W61" s="3"/>
      <c r="X61" s="3"/>
      <c r="Y61" s="3"/>
      <c r="Z61" s="3"/>
      <c r="AA61" s="3"/>
      <c r="AB61" s="3"/>
      <c r="AC61" s="3"/>
      <c r="AD61" s="3"/>
      <c r="AE61" s="3"/>
      <c r="AF61" s="82"/>
      <c r="AG61" s="131"/>
      <c r="AH61" s="26">
        <f>2500+4081.8+4000</f>
        <v>10581.8</v>
      </c>
      <c r="AI61" s="26"/>
      <c r="AJ61" s="26"/>
      <c r="AK61" s="26"/>
      <c r="AL61" s="26"/>
      <c r="AM61" s="26"/>
      <c r="AN61" s="26"/>
      <c r="AO61" s="26"/>
      <c r="AP61" s="26"/>
      <c r="AQ61" s="26"/>
      <c r="AR61" s="26"/>
      <c r="AS61" s="26"/>
      <c r="AT61" s="26"/>
      <c r="AU61" s="26"/>
      <c r="AV61" s="26"/>
    </row>
    <row r="62" spans="1:48" ht="24.75" customHeight="1">
      <c r="A62" s="99"/>
      <c r="B62" s="82"/>
      <c r="C62" s="10" t="s">
        <v>22</v>
      </c>
      <c r="D62" s="3">
        <v>831</v>
      </c>
      <c r="E62" s="82"/>
      <c r="F62" s="73"/>
      <c r="G62" s="65"/>
      <c r="H62" s="82"/>
      <c r="I62" s="82"/>
      <c r="J62" s="93"/>
      <c r="K62" s="65"/>
      <c r="L62" s="101"/>
      <c r="M62" s="93"/>
      <c r="N62" s="3"/>
      <c r="O62" s="3"/>
      <c r="P62" s="3"/>
      <c r="Q62" s="3"/>
      <c r="R62" s="3"/>
      <c r="S62" s="3"/>
      <c r="T62" s="3"/>
      <c r="U62" s="3"/>
      <c r="V62" s="3"/>
      <c r="W62" s="3"/>
      <c r="X62" s="3"/>
      <c r="Y62" s="3"/>
      <c r="Z62" s="3"/>
      <c r="AA62" s="3"/>
      <c r="AB62" s="3"/>
      <c r="AC62" s="3"/>
      <c r="AD62" s="3"/>
      <c r="AE62" s="3"/>
      <c r="AF62" s="82"/>
      <c r="AG62" s="131"/>
      <c r="AH62" s="26"/>
      <c r="AI62" s="26"/>
      <c r="AJ62" s="26"/>
      <c r="AK62" s="26"/>
      <c r="AL62" s="26"/>
      <c r="AM62" s="26"/>
      <c r="AN62" s="26"/>
      <c r="AO62" s="26"/>
      <c r="AP62" s="26"/>
      <c r="AQ62" s="26"/>
      <c r="AR62" s="26"/>
      <c r="AS62" s="26"/>
      <c r="AT62" s="26"/>
      <c r="AU62" s="26"/>
      <c r="AV62" s="26"/>
    </row>
    <row r="63" spans="1:48" ht="28.5" customHeight="1" hidden="1" thickBot="1">
      <c r="A63" s="99"/>
      <c r="B63" s="82"/>
      <c r="C63" s="10" t="s">
        <v>73</v>
      </c>
      <c r="D63" s="3">
        <v>321</v>
      </c>
      <c r="E63" s="82"/>
      <c r="F63" s="73"/>
      <c r="G63" s="65"/>
      <c r="H63" s="82"/>
      <c r="I63" s="82"/>
      <c r="J63" s="93"/>
      <c r="K63" s="65"/>
      <c r="L63" s="101"/>
      <c r="M63" s="93"/>
      <c r="N63" s="28">
        <v>1323.8</v>
      </c>
      <c r="O63" s="3"/>
      <c r="P63" s="3"/>
      <c r="Q63" s="3"/>
      <c r="R63" s="3"/>
      <c r="S63" s="3"/>
      <c r="T63" s="28">
        <v>1217.6</v>
      </c>
      <c r="U63" s="3"/>
      <c r="V63" s="28"/>
      <c r="W63" s="28">
        <v>1217.6</v>
      </c>
      <c r="X63" s="28"/>
      <c r="Y63" s="28"/>
      <c r="Z63" s="28">
        <v>1217.6</v>
      </c>
      <c r="AA63" s="28"/>
      <c r="AB63" s="28"/>
      <c r="AC63" s="28">
        <v>1217.6</v>
      </c>
      <c r="AD63" s="28"/>
      <c r="AE63" s="28"/>
      <c r="AF63" s="82"/>
      <c r="AG63" s="131"/>
      <c r="AH63" s="28">
        <v>1323.8</v>
      </c>
      <c r="AI63" s="26"/>
      <c r="AJ63" s="26"/>
      <c r="AK63" s="28">
        <v>1217.6</v>
      </c>
      <c r="AL63" s="26"/>
      <c r="AM63" s="28"/>
      <c r="AN63" s="28">
        <v>1217.6</v>
      </c>
      <c r="AO63" s="28"/>
      <c r="AP63" s="28"/>
      <c r="AQ63" s="28">
        <v>1217.6</v>
      </c>
      <c r="AR63" s="28"/>
      <c r="AS63" s="28"/>
      <c r="AT63" s="28">
        <v>1217.6</v>
      </c>
      <c r="AU63" s="28"/>
      <c r="AV63" s="28"/>
    </row>
    <row r="64" spans="1:48" s="2" customFormat="1" ht="24" customHeight="1" hidden="1" thickBot="1">
      <c r="A64" s="99"/>
      <c r="B64" s="82"/>
      <c r="C64" s="10"/>
      <c r="D64" s="3"/>
      <c r="E64" s="82"/>
      <c r="F64" s="73"/>
      <c r="G64" s="65"/>
      <c r="H64" s="82"/>
      <c r="I64" s="82"/>
      <c r="J64" s="93"/>
      <c r="K64" s="65"/>
      <c r="L64" s="101"/>
      <c r="M64" s="93"/>
      <c r="N64" s="3">
        <f>SUM(N67+N68+N69)</f>
        <v>4047.1</v>
      </c>
      <c r="O64" s="3"/>
      <c r="P64" s="3"/>
      <c r="Q64" s="3"/>
      <c r="R64" s="3"/>
      <c r="S64" s="3"/>
      <c r="T64" s="3">
        <f>SUM(T67+T68+T69)</f>
        <v>4050</v>
      </c>
      <c r="U64" s="3"/>
      <c r="V64" s="3"/>
      <c r="W64" s="3">
        <f>SUM(W67+W68+W69)</f>
        <v>4050</v>
      </c>
      <c r="X64" s="3"/>
      <c r="Y64" s="3"/>
      <c r="Z64" s="3">
        <f>SUM(Z67+Z68+Z69)</f>
        <v>4050</v>
      </c>
      <c r="AA64" s="3"/>
      <c r="AB64" s="3"/>
      <c r="AC64" s="3">
        <f>SUM(AC67+AC68+AC69)</f>
        <v>4050</v>
      </c>
      <c r="AD64" s="3"/>
      <c r="AE64" s="3"/>
      <c r="AF64" s="82"/>
      <c r="AG64" s="131"/>
      <c r="AH64" s="26">
        <f>SUM(AH67+AH68+AH69)</f>
        <v>4047.1</v>
      </c>
      <c r="AI64" s="26"/>
      <c r="AJ64" s="26"/>
      <c r="AK64" s="26">
        <f>SUM(AK67+AK68+AK69)</f>
        <v>4050</v>
      </c>
      <c r="AL64" s="26"/>
      <c r="AM64" s="26"/>
      <c r="AN64" s="26">
        <f>SUM(AN67+AN68+AN69)</f>
        <v>4050</v>
      </c>
      <c r="AO64" s="26"/>
      <c r="AP64" s="26"/>
      <c r="AQ64" s="26">
        <f>SUM(AQ67+AQ68+AQ69)</f>
        <v>4050</v>
      </c>
      <c r="AR64" s="26"/>
      <c r="AS64" s="26"/>
      <c r="AT64" s="26">
        <f>SUM(AT67+AT68+AT69)</f>
        <v>4050</v>
      </c>
      <c r="AU64" s="26"/>
      <c r="AV64" s="26"/>
    </row>
    <row r="65" spans="1:48" s="2" customFormat="1" ht="24" customHeight="1">
      <c r="A65" s="86"/>
      <c r="B65" s="83"/>
      <c r="C65" s="10" t="s">
        <v>73</v>
      </c>
      <c r="D65" s="3">
        <v>321</v>
      </c>
      <c r="E65" s="83"/>
      <c r="F65" s="74"/>
      <c r="G65" s="66"/>
      <c r="H65" s="83"/>
      <c r="I65" s="83"/>
      <c r="J65" s="94"/>
      <c r="K65" s="66"/>
      <c r="L65" s="102"/>
      <c r="M65" s="94"/>
      <c r="N65" s="3">
        <f>746.3+1748.5</f>
        <v>2494.8</v>
      </c>
      <c r="O65" s="3"/>
      <c r="P65" s="3"/>
      <c r="Q65" s="3">
        <f>746.3+1748.5</f>
        <v>2494.8</v>
      </c>
      <c r="R65" s="3"/>
      <c r="S65" s="3"/>
      <c r="T65" s="3">
        <v>1217.7</v>
      </c>
      <c r="U65" s="3"/>
      <c r="V65" s="3"/>
      <c r="W65" s="3">
        <f>1217.7</f>
        <v>1217.7</v>
      </c>
      <c r="X65" s="3"/>
      <c r="Y65" s="3"/>
      <c r="Z65" s="3">
        <f>1217.7</f>
        <v>1217.7</v>
      </c>
      <c r="AA65" s="3"/>
      <c r="AB65" s="3"/>
      <c r="AC65" s="3">
        <f>1217.7</f>
        <v>1217.7</v>
      </c>
      <c r="AD65" s="3"/>
      <c r="AE65" s="3"/>
      <c r="AF65" s="83"/>
      <c r="AG65" s="132"/>
      <c r="AH65" s="26">
        <f>746.3+1748.5</f>
        <v>2494.8</v>
      </c>
      <c r="AI65" s="26"/>
      <c r="AJ65" s="26"/>
      <c r="AK65" s="26">
        <v>1217.7</v>
      </c>
      <c r="AL65" s="26"/>
      <c r="AM65" s="26"/>
      <c r="AN65" s="26">
        <f>1217.7</f>
        <v>1217.7</v>
      </c>
      <c r="AO65" s="26"/>
      <c r="AP65" s="26"/>
      <c r="AQ65" s="26">
        <f>1217.7</f>
        <v>1217.7</v>
      </c>
      <c r="AR65" s="26"/>
      <c r="AS65" s="26"/>
      <c r="AT65" s="26">
        <f>1217.7</f>
        <v>1217.7</v>
      </c>
      <c r="AU65" s="26"/>
      <c r="AV65" s="26"/>
    </row>
    <row r="66" spans="1:48" s="2" customFormat="1" ht="18.75" customHeight="1">
      <c r="A66" s="18"/>
      <c r="B66" s="4"/>
      <c r="C66" s="10"/>
      <c r="D66" s="3"/>
      <c r="E66" s="66"/>
      <c r="F66" s="74"/>
      <c r="G66" s="66"/>
      <c r="H66" s="66"/>
      <c r="I66" s="66"/>
      <c r="J66" s="74"/>
      <c r="K66" s="66"/>
      <c r="L66" s="75"/>
      <c r="M66" s="74"/>
      <c r="N66" s="3">
        <f>SUM(N67:N69)</f>
        <v>4047.1</v>
      </c>
      <c r="O66" s="3">
        <f aca="true" t="shared" si="15" ref="O66:AB66">SUM(O67:O69)</f>
        <v>0</v>
      </c>
      <c r="P66" s="3">
        <f t="shared" si="15"/>
        <v>0</v>
      </c>
      <c r="Q66" s="3">
        <f t="shared" si="15"/>
        <v>4047</v>
      </c>
      <c r="R66" s="3">
        <f t="shared" si="15"/>
        <v>0</v>
      </c>
      <c r="S66" s="3">
        <f t="shared" si="15"/>
        <v>0</v>
      </c>
      <c r="T66" s="3">
        <f t="shared" si="15"/>
        <v>4050</v>
      </c>
      <c r="U66" s="3">
        <f t="shared" si="15"/>
        <v>0</v>
      </c>
      <c r="V66" s="3">
        <f t="shared" si="15"/>
        <v>0</v>
      </c>
      <c r="W66" s="3">
        <f t="shared" si="15"/>
        <v>4050</v>
      </c>
      <c r="X66" s="3">
        <f t="shared" si="15"/>
        <v>0</v>
      </c>
      <c r="Y66" s="3">
        <f t="shared" si="15"/>
        <v>0</v>
      </c>
      <c r="Z66" s="3">
        <f t="shared" si="15"/>
        <v>4050</v>
      </c>
      <c r="AA66" s="3">
        <f t="shared" si="15"/>
        <v>0</v>
      </c>
      <c r="AB66" s="3">
        <f t="shared" si="15"/>
        <v>0</v>
      </c>
      <c r="AC66" s="3">
        <f>SUM(AC67:AC69)</f>
        <v>4050</v>
      </c>
      <c r="AD66" s="3">
        <f>SUM(AD67:AD69)</f>
        <v>0</v>
      </c>
      <c r="AE66" s="3">
        <f>SUM(AE67:AE69)</f>
        <v>0</v>
      </c>
      <c r="AF66" s="12"/>
      <c r="AG66" s="58"/>
      <c r="AH66" s="26">
        <f aca="true" t="shared" si="16" ref="AH66:AS66">SUM(AH67:AH69)</f>
        <v>4047.1</v>
      </c>
      <c r="AI66" s="26">
        <f t="shared" si="16"/>
        <v>0</v>
      </c>
      <c r="AJ66" s="26">
        <f t="shared" si="16"/>
        <v>0</v>
      </c>
      <c r="AK66" s="26">
        <f t="shared" si="16"/>
        <v>4050</v>
      </c>
      <c r="AL66" s="26">
        <f t="shared" si="16"/>
        <v>0</v>
      </c>
      <c r="AM66" s="26">
        <f t="shared" si="16"/>
        <v>0</v>
      </c>
      <c r="AN66" s="26">
        <f t="shared" si="16"/>
        <v>4050</v>
      </c>
      <c r="AO66" s="26">
        <f t="shared" si="16"/>
        <v>0</v>
      </c>
      <c r="AP66" s="26">
        <f t="shared" si="16"/>
        <v>0</v>
      </c>
      <c r="AQ66" s="26">
        <f t="shared" si="16"/>
        <v>4050</v>
      </c>
      <c r="AR66" s="26">
        <f t="shared" si="16"/>
        <v>0</v>
      </c>
      <c r="AS66" s="26">
        <f t="shared" si="16"/>
        <v>0</v>
      </c>
      <c r="AT66" s="26">
        <f>SUM(AT67:AT69)</f>
        <v>4050</v>
      </c>
      <c r="AU66" s="26">
        <f>SUM(AU67:AU69)</f>
        <v>0</v>
      </c>
      <c r="AV66" s="26">
        <f>SUM(AV67:AV69)</f>
        <v>0</v>
      </c>
    </row>
    <row r="67" spans="1:48" ht="17.25" customHeight="1">
      <c r="A67" s="84" t="s">
        <v>51</v>
      </c>
      <c r="B67" s="91">
        <v>2108</v>
      </c>
      <c r="C67" s="10" t="s">
        <v>52</v>
      </c>
      <c r="D67" s="3">
        <v>810</v>
      </c>
      <c r="E67" s="84" t="s">
        <v>165</v>
      </c>
      <c r="F67" s="87" t="s">
        <v>171</v>
      </c>
      <c r="G67" s="84" t="s">
        <v>159</v>
      </c>
      <c r="H67" s="105"/>
      <c r="I67" s="84"/>
      <c r="J67" s="87"/>
      <c r="K67" s="84" t="s">
        <v>131</v>
      </c>
      <c r="L67" s="105" t="s">
        <v>120</v>
      </c>
      <c r="M67" s="87" t="s">
        <v>126</v>
      </c>
      <c r="N67" s="3"/>
      <c r="O67" s="3"/>
      <c r="P67" s="3"/>
      <c r="Q67" s="3"/>
      <c r="R67" s="3"/>
      <c r="S67" s="3"/>
      <c r="T67" s="3"/>
      <c r="U67" s="3"/>
      <c r="V67" s="3"/>
      <c r="W67" s="3"/>
      <c r="X67" s="3"/>
      <c r="Y67" s="3"/>
      <c r="Z67" s="3"/>
      <c r="AA67" s="3"/>
      <c r="AB67" s="3"/>
      <c r="AC67" s="3"/>
      <c r="AD67" s="3"/>
      <c r="AE67" s="3"/>
      <c r="AF67" s="81" t="s">
        <v>284</v>
      </c>
      <c r="AG67" s="85" t="s">
        <v>287</v>
      </c>
      <c r="AH67" s="26"/>
      <c r="AI67" s="26"/>
      <c r="AJ67" s="26"/>
      <c r="AK67" s="26"/>
      <c r="AL67" s="26"/>
      <c r="AM67" s="26"/>
      <c r="AN67" s="26"/>
      <c r="AO67" s="26"/>
      <c r="AP67" s="26"/>
      <c r="AQ67" s="26"/>
      <c r="AR67" s="26"/>
      <c r="AS67" s="26"/>
      <c r="AT67" s="26"/>
      <c r="AU67" s="26"/>
      <c r="AV67" s="26"/>
    </row>
    <row r="68" spans="1:48" ht="16.5" customHeight="1">
      <c r="A68" s="84"/>
      <c r="B68" s="91"/>
      <c r="C68" s="10" t="s">
        <v>52</v>
      </c>
      <c r="D68" s="3">
        <v>811</v>
      </c>
      <c r="E68" s="84"/>
      <c r="F68" s="87"/>
      <c r="G68" s="84"/>
      <c r="H68" s="105"/>
      <c r="I68" s="84"/>
      <c r="J68" s="87"/>
      <c r="K68" s="84"/>
      <c r="L68" s="105"/>
      <c r="M68" s="87"/>
      <c r="N68" s="3"/>
      <c r="O68" s="3"/>
      <c r="P68" s="3"/>
      <c r="Q68" s="3"/>
      <c r="R68" s="3"/>
      <c r="S68" s="3"/>
      <c r="T68" s="3">
        <v>4050</v>
      </c>
      <c r="U68" s="3"/>
      <c r="V68" s="3"/>
      <c r="W68" s="3">
        <v>4050</v>
      </c>
      <c r="X68" s="3"/>
      <c r="Y68" s="3"/>
      <c r="Z68" s="3">
        <v>4050</v>
      </c>
      <c r="AA68" s="3"/>
      <c r="AB68" s="3"/>
      <c r="AC68" s="3">
        <v>4050</v>
      </c>
      <c r="AD68" s="3"/>
      <c r="AE68" s="3"/>
      <c r="AF68" s="82"/>
      <c r="AG68" s="99"/>
      <c r="AH68" s="26"/>
      <c r="AI68" s="26"/>
      <c r="AJ68" s="26"/>
      <c r="AK68" s="26">
        <v>4050</v>
      </c>
      <c r="AL68" s="26"/>
      <c r="AM68" s="26"/>
      <c r="AN68" s="26">
        <v>4050</v>
      </c>
      <c r="AO68" s="26"/>
      <c r="AP68" s="26"/>
      <c r="AQ68" s="26">
        <v>4050</v>
      </c>
      <c r="AR68" s="26"/>
      <c r="AS68" s="26"/>
      <c r="AT68" s="26">
        <v>4050</v>
      </c>
      <c r="AU68" s="26"/>
      <c r="AV68" s="26"/>
    </row>
    <row r="69" spans="1:48" ht="18.75" customHeight="1">
      <c r="A69" s="84"/>
      <c r="B69" s="91"/>
      <c r="C69" s="10" t="s">
        <v>52</v>
      </c>
      <c r="D69" s="3">
        <v>814</v>
      </c>
      <c r="E69" s="84"/>
      <c r="F69" s="87"/>
      <c r="G69" s="84"/>
      <c r="H69" s="105"/>
      <c r="I69" s="84"/>
      <c r="J69" s="87"/>
      <c r="K69" s="84"/>
      <c r="L69" s="105"/>
      <c r="M69" s="87"/>
      <c r="N69" s="3">
        <v>4047.1</v>
      </c>
      <c r="O69" s="3"/>
      <c r="P69" s="3"/>
      <c r="Q69" s="14">
        <v>4047</v>
      </c>
      <c r="R69" s="3"/>
      <c r="S69" s="3"/>
      <c r="T69" s="3"/>
      <c r="U69" s="3"/>
      <c r="V69" s="3"/>
      <c r="W69" s="3"/>
      <c r="X69" s="3"/>
      <c r="Y69" s="3"/>
      <c r="Z69" s="3"/>
      <c r="AA69" s="3"/>
      <c r="AB69" s="3"/>
      <c r="AC69" s="3"/>
      <c r="AD69" s="3"/>
      <c r="AE69" s="3"/>
      <c r="AF69" s="83"/>
      <c r="AG69" s="86"/>
      <c r="AH69" s="26">
        <v>4047.1</v>
      </c>
      <c r="AI69" s="26"/>
      <c r="AJ69" s="26"/>
      <c r="AK69" s="26"/>
      <c r="AL69" s="26"/>
      <c r="AM69" s="26"/>
      <c r="AN69" s="26"/>
      <c r="AO69" s="26"/>
      <c r="AP69" s="26"/>
      <c r="AQ69" s="26"/>
      <c r="AR69" s="26"/>
      <c r="AS69" s="26"/>
      <c r="AT69" s="26"/>
      <c r="AU69" s="26"/>
      <c r="AV69" s="26"/>
    </row>
    <row r="70" spans="1:48" s="2" customFormat="1" ht="16.5" customHeight="1" thickBot="1">
      <c r="A70" s="18"/>
      <c r="B70" s="4"/>
      <c r="C70" s="10"/>
      <c r="D70" s="3"/>
      <c r="E70" s="54"/>
      <c r="F70" s="53"/>
      <c r="G70" s="54"/>
      <c r="H70" s="56"/>
      <c r="I70" s="54"/>
      <c r="J70" s="53"/>
      <c r="K70" s="54"/>
      <c r="L70" s="56"/>
      <c r="M70" s="53"/>
      <c r="N70" s="3">
        <f>SUM(N71)</f>
        <v>255</v>
      </c>
      <c r="O70" s="3">
        <f aca="true" t="shared" si="17" ref="O70:AE70">SUM(O71)</f>
        <v>89</v>
      </c>
      <c r="P70" s="3">
        <f t="shared" si="17"/>
        <v>0</v>
      </c>
      <c r="Q70" s="3">
        <f t="shared" si="17"/>
        <v>248.1</v>
      </c>
      <c r="R70" s="3">
        <f t="shared" si="17"/>
        <v>88.9</v>
      </c>
      <c r="S70" s="3">
        <f t="shared" si="17"/>
        <v>0</v>
      </c>
      <c r="T70" s="3">
        <f t="shared" si="17"/>
        <v>255</v>
      </c>
      <c r="U70" s="3">
        <f t="shared" si="17"/>
        <v>89</v>
      </c>
      <c r="V70" s="3">
        <f t="shared" si="17"/>
        <v>0</v>
      </c>
      <c r="W70" s="3">
        <f t="shared" si="17"/>
        <v>255</v>
      </c>
      <c r="X70" s="3">
        <f t="shared" si="17"/>
        <v>89</v>
      </c>
      <c r="Y70" s="3">
        <f t="shared" si="17"/>
        <v>0</v>
      </c>
      <c r="Z70" s="3">
        <f t="shared" si="17"/>
        <v>255</v>
      </c>
      <c r="AA70" s="3">
        <f t="shared" si="17"/>
        <v>89</v>
      </c>
      <c r="AB70" s="3">
        <f t="shared" si="17"/>
        <v>0</v>
      </c>
      <c r="AC70" s="3">
        <f t="shared" si="17"/>
        <v>255</v>
      </c>
      <c r="AD70" s="3">
        <f t="shared" si="17"/>
        <v>89</v>
      </c>
      <c r="AE70" s="3">
        <f t="shared" si="17"/>
        <v>0</v>
      </c>
      <c r="AF70" s="12"/>
      <c r="AG70" s="58"/>
      <c r="AH70" s="26">
        <f>SUM(AH71)</f>
        <v>255</v>
      </c>
      <c r="AI70" s="26">
        <f aca="true" t="shared" si="18" ref="AI70:AV70">SUM(AI71)</f>
        <v>89</v>
      </c>
      <c r="AJ70" s="26">
        <f t="shared" si="18"/>
        <v>0</v>
      </c>
      <c r="AK70" s="26">
        <f t="shared" si="18"/>
        <v>255</v>
      </c>
      <c r="AL70" s="26">
        <f t="shared" si="18"/>
        <v>89</v>
      </c>
      <c r="AM70" s="26">
        <f t="shared" si="18"/>
        <v>0</v>
      </c>
      <c r="AN70" s="26">
        <f t="shared" si="18"/>
        <v>255</v>
      </c>
      <c r="AO70" s="26">
        <f t="shared" si="18"/>
        <v>89</v>
      </c>
      <c r="AP70" s="26">
        <f t="shared" si="18"/>
        <v>0</v>
      </c>
      <c r="AQ70" s="26">
        <f t="shared" si="18"/>
        <v>255</v>
      </c>
      <c r="AR70" s="26">
        <f t="shared" si="18"/>
        <v>89</v>
      </c>
      <c r="AS70" s="26">
        <f t="shared" si="18"/>
        <v>0</v>
      </c>
      <c r="AT70" s="26">
        <f t="shared" si="18"/>
        <v>255</v>
      </c>
      <c r="AU70" s="26">
        <f t="shared" si="18"/>
        <v>89</v>
      </c>
      <c r="AV70" s="26">
        <f t="shared" si="18"/>
        <v>0</v>
      </c>
    </row>
    <row r="71" spans="1:49" s="9" customFormat="1" ht="57.75" customHeight="1" thickBot="1">
      <c r="A71" s="84" t="s">
        <v>45</v>
      </c>
      <c r="B71" s="91">
        <v>2109</v>
      </c>
      <c r="C71" s="98" t="s">
        <v>46</v>
      </c>
      <c r="D71" s="84">
        <v>244</v>
      </c>
      <c r="E71" s="84" t="s">
        <v>165</v>
      </c>
      <c r="F71" s="87" t="s">
        <v>172</v>
      </c>
      <c r="G71" s="84" t="s">
        <v>159</v>
      </c>
      <c r="H71" s="84" t="s">
        <v>173</v>
      </c>
      <c r="I71" s="84" t="s">
        <v>174</v>
      </c>
      <c r="J71" s="87" t="s">
        <v>175</v>
      </c>
      <c r="K71" s="84" t="s">
        <v>132</v>
      </c>
      <c r="L71" s="52" t="s">
        <v>120</v>
      </c>
      <c r="M71" s="7" t="s">
        <v>126</v>
      </c>
      <c r="N71" s="84">
        <v>255</v>
      </c>
      <c r="O71" s="84">
        <v>89</v>
      </c>
      <c r="P71" s="18"/>
      <c r="Q71" s="18">
        <v>248.1</v>
      </c>
      <c r="R71" s="18">
        <v>88.9</v>
      </c>
      <c r="S71" s="18"/>
      <c r="T71" s="84">
        <v>255</v>
      </c>
      <c r="U71" s="18">
        <f>89</f>
        <v>89</v>
      </c>
      <c r="V71" s="84"/>
      <c r="W71" s="84">
        <v>255</v>
      </c>
      <c r="X71" s="18">
        <f>89</f>
        <v>89</v>
      </c>
      <c r="Y71" s="84"/>
      <c r="Z71" s="84">
        <v>255</v>
      </c>
      <c r="AA71" s="18">
        <f>89</f>
        <v>89</v>
      </c>
      <c r="AB71" s="18"/>
      <c r="AC71" s="84">
        <v>255</v>
      </c>
      <c r="AD71" s="18">
        <f>89</f>
        <v>89</v>
      </c>
      <c r="AE71" s="18"/>
      <c r="AF71" s="106" t="s">
        <v>284</v>
      </c>
      <c r="AG71" s="58" t="s">
        <v>287</v>
      </c>
      <c r="AH71" s="84">
        <v>255</v>
      </c>
      <c r="AI71" s="84">
        <v>89</v>
      </c>
      <c r="AJ71" s="24"/>
      <c r="AK71" s="84">
        <v>255</v>
      </c>
      <c r="AL71" s="24">
        <f>89</f>
        <v>89</v>
      </c>
      <c r="AM71" s="84"/>
      <c r="AN71" s="84">
        <v>255</v>
      </c>
      <c r="AO71" s="24">
        <f>89</f>
        <v>89</v>
      </c>
      <c r="AP71" s="84"/>
      <c r="AQ71" s="84">
        <v>255</v>
      </c>
      <c r="AR71" s="24">
        <f>89</f>
        <v>89</v>
      </c>
      <c r="AS71" s="24"/>
      <c r="AT71" s="84">
        <v>255</v>
      </c>
      <c r="AU71" s="24">
        <f>89</f>
        <v>89</v>
      </c>
      <c r="AV71" s="24"/>
      <c r="AW71" s="21"/>
    </row>
    <row r="72" spans="1:48" ht="117.75" customHeight="1" hidden="1" thickBot="1">
      <c r="A72" s="84"/>
      <c r="B72" s="91"/>
      <c r="C72" s="98"/>
      <c r="D72" s="84"/>
      <c r="E72" s="84"/>
      <c r="F72" s="87"/>
      <c r="G72" s="84"/>
      <c r="H72" s="84"/>
      <c r="I72" s="84"/>
      <c r="J72" s="87"/>
      <c r="K72" s="84"/>
      <c r="L72" s="52"/>
      <c r="M72" s="7"/>
      <c r="N72" s="84"/>
      <c r="O72" s="84"/>
      <c r="P72" s="18"/>
      <c r="Q72" s="18"/>
      <c r="R72" s="18"/>
      <c r="S72" s="18"/>
      <c r="T72" s="84"/>
      <c r="U72" s="18"/>
      <c r="V72" s="84"/>
      <c r="W72" s="84"/>
      <c r="X72" s="18"/>
      <c r="Y72" s="84"/>
      <c r="Z72" s="84"/>
      <c r="AA72" s="18"/>
      <c r="AB72" s="18"/>
      <c r="AC72" s="84"/>
      <c r="AD72" s="18"/>
      <c r="AE72" s="18"/>
      <c r="AF72" s="106"/>
      <c r="AG72" s="58"/>
      <c r="AH72" s="84"/>
      <c r="AI72" s="84"/>
      <c r="AJ72" s="24"/>
      <c r="AK72" s="84"/>
      <c r="AL72" s="24"/>
      <c r="AM72" s="84"/>
      <c r="AN72" s="84"/>
      <c r="AO72" s="24"/>
      <c r="AP72" s="84"/>
      <c r="AQ72" s="84"/>
      <c r="AR72" s="24"/>
      <c r="AS72" s="24"/>
      <c r="AT72" s="84"/>
      <c r="AU72" s="24"/>
      <c r="AV72" s="24"/>
    </row>
    <row r="73" spans="1:49" s="8" customFormat="1" ht="17.25" customHeight="1">
      <c r="A73" s="18"/>
      <c r="B73" s="4"/>
      <c r="C73" s="19"/>
      <c r="D73" s="18"/>
      <c r="E73" s="54"/>
      <c r="F73" s="53"/>
      <c r="G73" s="54"/>
      <c r="H73" s="54"/>
      <c r="I73" s="54"/>
      <c r="J73" s="53"/>
      <c r="K73" s="54"/>
      <c r="L73" s="52"/>
      <c r="M73" s="7"/>
      <c r="N73" s="18">
        <f>SUM(N74)</f>
        <v>394.2</v>
      </c>
      <c r="O73" s="18">
        <f aca="true" t="shared" si="19" ref="O73:AE73">SUM(O74)</f>
        <v>0</v>
      </c>
      <c r="P73" s="18">
        <f t="shared" si="19"/>
        <v>0</v>
      </c>
      <c r="Q73" s="18">
        <f t="shared" si="19"/>
        <v>394.2</v>
      </c>
      <c r="R73" s="18">
        <f t="shared" si="19"/>
        <v>0</v>
      </c>
      <c r="S73" s="18">
        <f t="shared" si="19"/>
        <v>0</v>
      </c>
      <c r="T73" s="18">
        <f t="shared" si="19"/>
        <v>700</v>
      </c>
      <c r="U73" s="18">
        <f t="shared" si="19"/>
        <v>210</v>
      </c>
      <c r="V73" s="18">
        <f t="shared" si="19"/>
        <v>0</v>
      </c>
      <c r="W73" s="18">
        <f t="shared" si="19"/>
        <v>800</v>
      </c>
      <c r="X73" s="18">
        <f t="shared" si="19"/>
        <v>760</v>
      </c>
      <c r="Y73" s="18">
        <f t="shared" si="19"/>
        <v>0</v>
      </c>
      <c r="Z73" s="18">
        <f t="shared" si="19"/>
        <v>800</v>
      </c>
      <c r="AA73" s="18">
        <f t="shared" si="19"/>
        <v>760</v>
      </c>
      <c r="AB73" s="18">
        <f t="shared" si="19"/>
        <v>0</v>
      </c>
      <c r="AC73" s="18">
        <f t="shared" si="19"/>
        <v>800</v>
      </c>
      <c r="AD73" s="18">
        <f t="shared" si="19"/>
        <v>760</v>
      </c>
      <c r="AE73" s="18">
        <f t="shared" si="19"/>
        <v>0</v>
      </c>
      <c r="AF73" s="12"/>
      <c r="AG73" s="58"/>
      <c r="AH73" s="24">
        <f>SUM(AH74)</f>
        <v>394.2</v>
      </c>
      <c r="AI73" s="24">
        <f aca="true" t="shared" si="20" ref="AI73:AV73">SUM(AI74)</f>
        <v>0</v>
      </c>
      <c r="AJ73" s="24">
        <f t="shared" si="20"/>
        <v>0</v>
      </c>
      <c r="AK73" s="24">
        <f t="shared" si="20"/>
        <v>700</v>
      </c>
      <c r="AL73" s="24">
        <f t="shared" si="20"/>
        <v>210</v>
      </c>
      <c r="AM73" s="24">
        <f t="shared" si="20"/>
        <v>0</v>
      </c>
      <c r="AN73" s="24">
        <f t="shared" si="20"/>
        <v>800</v>
      </c>
      <c r="AO73" s="24">
        <f t="shared" si="20"/>
        <v>760</v>
      </c>
      <c r="AP73" s="24">
        <f t="shared" si="20"/>
        <v>0</v>
      </c>
      <c r="AQ73" s="24">
        <f t="shared" si="20"/>
        <v>800</v>
      </c>
      <c r="AR73" s="24">
        <f t="shared" si="20"/>
        <v>760</v>
      </c>
      <c r="AS73" s="24">
        <f t="shared" si="20"/>
        <v>0</v>
      </c>
      <c r="AT73" s="24">
        <f t="shared" si="20"/>
        <v>800</v>
      </c>
      <c r="AU73" s="24">
        <f t="shared" si="20"/>
        <v>760</v>
      </c>
      <c r="AV73" s="24">
        <f t="shared" si="20"/>
        <v>0</v>
      </c>
      <c r="AW73" s="22"/>
    </row>
    <row r="74" spans="1:48" ht="43.5" customHeight="1" thickBot="1">
      <c r="A74" s="84" t="s">
        <v>43</v>
      </c>
      <c r="B74" s="91">
        <v>2115</v>
      </c>
      <c r="C74" s="98" t="s">
        <v>44</v>
      </c>
      <c r="D74" s="84">
        <v>244</v>
      </c>
      <c r="E74" s="84" t="s">
        <v>165</v>
      </c>
      <c r="F74" s="87" t="s">
        <v>176</v>
      </c>
      <c r="G74" s="84" t="s">
        <v>159</v>
      </c>
      <c r="H74" s="84" t="s">
        <v>177</v>
      </c>
      <c r="I74" s="84" t="s">
        <v>178</v>
      </c>
      <c r="J74" s="87" t="s">
        <v>179</v>
      </c>
      <c r="K74" s="84" t="s">
        <v>133</v>
      </c>
      <c r="L74" s="52" t="s">
        <v>120</v>
      </c>
      <c r="M74" s="7" t="s">
        <v>126</v>
      </c>
      <c r="N74" s="84">
        <v>394.2</v>
      </c>
      <c r="O74" s="84"/>
      <c r="P74" s="18"/>
      <c r="Q74" s="18">
        <f>394.2</f>
        <v>394.2</v>
      </c>
      <c r="R74" s="18"/>
      <c r="S74" s="18"/>
      <c r="T74" s="84">
        <v>700</v>
      </c>
      <c r="U74" s="18">
        <f>210</f>
        <v>210</v>
      </c>
      <c r="V74" s="84"/>
      <c r="W74" s="84">
        <f>800</f>
        <v>800</v>
      </c>
      <c r="X74" s="18">
        <f>760</f>
        <v>760</v>
      </c>
      <c r="Y74" s="84"/>
      <c r="Z74" s="84">
        <f>800</f>
        <v>800</v>
      </c>
      <c r="AA74" s="18">
        <f>760</f>
        <v>760</v>
      </c>
      <c r="AB74" s="18"/>
      <c r="AC74" s="84">
        <f>800</f>
        <v>800</v>
      </c>
      <c r="AD74" s="18">
        <f>760</f>
        <v>760</v>
      </c>
      <c r="AE74" s="18"/>
      <c r="AF74" s="106" t="s">
        <v>284</v>
      </c>
      <c r="AG74" s="58" t="s">
        <v>287</v>
      </c>
      <c r="AH74" s="84">
        <v>394.2</v>
      </c>
      <c r="AI74" s="84"/>
      <c r="AJ74" s="24"/>
      <c r="AK74" s="84">
        <v>700</v>
      </c>
      <c r="AL74" s="24">
        <f>210</f>
        <v>210</v>
      </c>
      <c r="AM74" s="84"/>
      <c r="AN74" s="84">
        <f>800</f>
        <v>800</v>
      </c>
      <c r="AO74" s="24">
        <f>760</f>
        <v>760</v>
      </c>
      <c r="AP74" s="84"/>
      <c r="AQ74" s="84">
        <f>800</f>
        <v>800</v>
      </c>
      <c r="AR74" s="24">
        <f>760</f>
        <v>760</v>
      </c>
      <c r="AS74" s="24"/>
      <c r="AT74" s="84">
        <f>800</f>
        <v>800</v>
      </c>
      <c r="AU74" s="24">
        <f>760</f>
        <v>760</v>
      </c>
      <c r="AV74" s="24"/>
    </row>
    <row r="75" spans="1:48" ht="318" customHeight="1" hidden="1" thickBot="1">
      <c r="A75" s="84"/>
      <c r="B75" s="91"/>
      <c r="C75" s="98"/>
      <c r="D75" s="84"/>
      <c r="E75" s="84"/>
      <c r="F75" s="87"/>
      <c r="G75" s="84"/>
      <c r="H75" s="84"/>
      <c r="I75" s="84"/>
      <c r="J75" s="87"/>
      <c r="K75" s="84"/>
      <c r="L75" s="52"/>
      <c r="M75" s="7"/>
      <c r="N75" s="84"/>
      <c r="O75" s="84"/>
      <c r="P75" s="18"/>
      <c r="Q75" s="18"/>
      <c r="R75" s="18"/>
      <c r="S75" s="18"/>
      <c r="T75" s="84"/>
      <c r="U75" s="18"/>
      <c r="V75" s="84"/>
      <c r="W75" s="84"/>
      <c r="X75" s="18"/>
      <c r="Y75" s="84"/>
      <c r="Z75" s="84"/>
      <c r="AA75" s="18"/>
      <c r="AB75" s="18"/>
      <c r="AC75" s="84"/>
      <c r="AD75" s="18"/>
      <c r="AE75" s="18"/>
      <c r="AF75" s="106"/>
      <c r="AG75" s="58"/>
      <c r="AH75" s="84"/>
      <c r="AI75" s="84"/>
      <c r="AJ75" s="24"/>
      <c r="AK75" s="84"/>
      <c r="AL75" s="24"/>
      <c r="AM75" s="84"/>
      <c r="AN75" s="84"/>
      <c r="AO75" s="24"/>
      <c r="AP75" s="84"/>
      <c r="AQ75" s="84"/>
      <c r="AR75" s="24"/>
      <c r="AS75" s="24"/>
      <c r="AT75" s="84"/>
      <c r="AU75" s="24"/>
      <c r="AV75" s="24"/>
    </row>
    <row r="76" spans="1:48" s="5" customFormat="1" ht="14.25" customHeight="1" thickBot="1">
      <c r="A76" s="18"/>
      <c r="B76" s="4"/>
      <c r="C76" s="30"/>
      <c r="D76" s="4"/>
      <c r="E76" s="54"/>
      <c r="F76" s="53"/>
      <c r="G76" s="54"/>
      <c r="H76" s="54"/>
      <c r="I76" s="54"/>
      <c r="J76" s="53"/>
      <c r="K76" s="54"/>
      <c r="L76" s="52"/>
      <c r="M76" s="7"/>
      <c r="N76" s="18">
        <f>SUM(N77+N78)</f>
        <v>1496.9</v>
      </c>
      <c r="O76" s="18">
        <f aca="true" t="shared" si="21" ref="O76:AB76">SUM(O77+O78)</f>
        <v>34</v>
      </c>
      <c r="P76" s="18">
        <f t="shared" si="21"/>
        <v>0</v>
      </c>
      <c r="Q76" s="18">
        <f t="shared" si="21"/>
        <v>1490.4</v>
      </c>
      <c r="R76" s="18">
        <f t="shared" si="21"/>
        <v>34</v>
      </c>
      <c r="S76" s="18">
        <f t="shared" si="21"/>
        <v>0</v>
      </c>
      <c r="T76" s="18">
        <f t="shared" si="21"/>
        <v>1557.9</v>
      </c>
      <c r="U76" s="18">
        <f t="shared" si="21"/>
        <v>0</v>
      </c>
      <c r="V76" s="18">
        <f t="shared" si="21"/>
        <v>0</v>
      </c>
      <c r="W76" s="18">
        <f t="shared" si="21"/>
        <v>1568.3000000000002</v>
      </c>
      <c r="X76" s="18">
        <f t="shared" si="21"/>
        <v>0</v>
      </c>
      <c r="Y76" s="18">
        <f t="shared" si="21"/>
        <v>0</v>
      </c>
      <c r="Z76" s="18">
        <f t="shared" si="21"/>
        <v>1568.3000000000002</v>
      </c>
      <c r="AA76" s="18">
        <f t="shared" si="21"/>
        <v>0</v>
      </c>
      <c r="AB76" s="18">
        <f t="shared" si="21"/>
        <v>0</v>
      </c>
      <c r="AC76" s="18">
        <f>SUM(AC77+AC78)</f>
        <v>1568.3000000000002</v>
      </c>
      <c r="AD76" s="18">
        <f>SUM(AD77+AD78)</f>
        <v>0</v>
      </c>
      <c r="AE76" s="18">
        <f>SUM(AE77+AE78)</f>
        <v>0</v>
      </c>
      <c r="AF76" s="12"/>
      <c r="AG76" s="58"/>
      <c r="AH76" s="24">
        <f>SUM(AH77+AH78)</f>
        <v>1496.9</v>
      </c>
      <c r="AI76" s="24">
        <f aca="true" t="shared" si="22" ref="AI76:AS76">SUM(AI77+AI78)</f>
        <v>34</v>
      </c>
      <c r="AJ76" s="24">
        <f t="shared" si="22"/>
        <v>0</v>
      </c>
      <c r="AK76" s="24">
        <f t="shared" si="22"/>
        <v>1557.9</v>
      </c>
      <c r="AL76" s="24">
        <f t="shared" si="22"/>
        <v>0</v>
      </c>
      <c r="AM76" s="24">
        <f t="shared" si="22"/>
        <v>0</v>
      </c>
      <c r="AN76" s="24">
        <f t="shared" si="22"/>
        <v>1568.3000000000002</v>
      </c>
      <c r="AO76" s="24">
        <f t="shared" si="22"/>
        <v>0</v>
      </c>
      <c r="AP76" s="24">
        <f t="shared" si="22"/>
        <v>0</v>
      </c>
      <c r="AQ76" s="24">
        <f t="shared" si="22"/>
        <v>1568.3000000000002</v>
      </c>
      <c r="AR76" s="24">
        <f t="shared" si="22"/>
        <v>0</v>
      </c>
      <c r="AS76" s="24">
        <f t="shared" si="22"/>
        <v>0</v>
      </c>
      <c r="AT76" s="24">
        <f>SUM(AT77+AT78)</f>
        <v>1568.3000000000002</v>
      </c>
      <c r="AU76" s="24">
        <f>SUM(AU77+AU78)</f>
        <v>0</v>
      </c>
      <c r="AV76" s="24">
        <f>SUM(AV77+AV78)</f>
        <v>0</v>
      </c>
    </row>
    <row r="77" spans="1:48" ht="38.25" customHeight="1">
      <c r="A77" s="84" t="s">
        <v>64</v>
      </c>
      <c r="B77" s="91">
        <v>2116</v>
      </c>
      <c r="C77" s="10" t="s">
        <v>62</v>
      </c>
      <c r="D77" s="3">
        <v>244</v>
      </c>
      <c r="E77" s="91" t="s">
        <v>165</v>
      </c>
      <c r="F77" s="87" t="s">
        <v>180</v>
      </c>
      <c r="G77" s="91" t="s">
        <v>159</v>
      </c>
      <c r="H77" s="91" t="s">
        <v>181</v>
      </c>
      <c r="I77" s="84" t="s">
        <v>182</v>
      </c>
      <c r="J77" s="90" t="s">
        <v>183</v>
      </c>
      <c r="K77" s="91" t="s">
        <v>131</v>
      </c>
      <c r="L77" s="91" t="s">
        <v>120</v>
      </c>
      <c r="M77" s="90" t="s">
        <v>126</v>
      </c>
      <c r="N77" s="3">
        <v>1432.9</v>
      </c>
      <c r="O77" s="3"/>
      <c r="P77" s="3"/>
      <c r="Q77" s="3">
        <v>1428.2</v>
      </c>
      <c r="R77" s="3"/>
      <c r="S77" s="3"/>
      <c r="T77" s="3">
        <v>1500</v>
      </c>
      <c r="U77" s="3"/>
      <c r="V77" s="3"/>
      <c r="W77" s="3">
        <v>1510.4</v>
      </c>
      <c r="X77" s="3"/>
      <c r="Y77" s="3"/>
      <c r="Z77" s="3">
        <f>1510.4</f>
        <v>1510.4</v>
      </c>
      <c r="AA77" s="3"/>
      <c r="AB77" s="3"/>
      <c r="AC77" s="3">
        <f>1510.4</f>
        <v>1510.4</v>
      </c>
      <c r="AD77" s="3"/>
      <c r="AE77" s="3"/>
      <c r="AF77" s="81" t="s">
        <v>284</v>
      </c>
      <c r="AG77" s="81" t="s">
        <v>287</v>
      </c>
      <c r="AH77" s="26">
        <v>1432.9</v>
      </c>
      <c r="AI77" s="26"/>
      <c r="AJ77" s="26"/>
      <c r="AK77" s="26">
        <v>1500</v>
      </c>
      <c r="AL77" s="26"/>
      <c r="AM77" s="26"/>
      <c r="AN77" s="26">
        <v>1510.4</v>
      </c>
      <c r="AO77" s="26"/>
      <c r="AP77" s="26"/>
      <c r="AQ77" s="26">
        <f>1510.4</f>
        <v>1510.4</v>
      </c>
      <c r="AR77" s="26"/>
      <c r="AS77" s="26"/>
      <c r="AT77" s="26">
        <f>1510.4</f>
        <v>1510.4</v>
      </c>
      <c r="AU77" s="26"/>
      <c r="AV77" s="26"/>
    </row>
    <row r="78" spans="1:48" ht="27" customHeight="1">
      <c r="A78" s="84"/>
      <c r="B78" s="91"/>
      <c r="C78" s="10" t="s">
        <v>66</v>
      </c>
      <c r="D78" s="3">
        <v>244</v>
      </c>
      <c r="E78" s="91"/>
      <c r="F78" s="87"/>
      <c r="G78" s="91"/>
      <c r="H78" s="91"/>
      <c r="I78" s="84"/>
      <c r="J78" s="90"/>
      <c r="K78" s="91"/>
      <c r="L78" s="91"/>
      <c r="M78" s="90"/>
      <c r="N78" s="3">
        <v>64</v>
      </c>
      <c r="O78" s="3">
        <v>34</v>
      </c>
      <c r="P78" s="3"/>
      <c r="Q78" s="3">
        <v>62.2</v>
      </c>
      <c r="R78" s="3">
        <v>34</v>
      </c>
      <c r="S78" s="3"/>
      <c r="T78" s="3">
        <f>57.9</f>
        <v>57.9</v>
      </c>
      <c r="U78" s="3"/>
      <c r="V78" s="3"/>
      <c r="W78" s="3">
        <f>57.9</f>
        <v>57.9</v>
      </c>
      <c r="X78" s="3"/>
      <c r="Y78" s="3"/>
      <c r="Z78" s="3">
        <f>57.9</f>
        <v>57.9</v>
      </c>
      <c r="AA78" s="3"/>
      <c r="AB78" s="3"/>
      <c r="AC78" s="3">
        <f>57.9</f>
        <v>57.9</v>
      </c>
      <c r="AD78" s="3"/>
      <c r="AE78" s="3"/>
      <c r="AF78" s="83"/>
      <c r="AG78" s="83"/>
      <c r="AH78" s="26">
        <v>64</v>
      </c>
      <c r="AI78" s="26">
        <v>34</v>
      </c>
      <c r="AJ78" s="26"/>
      <c r="AK78" s="26">
        <f>57.9</f>
        <v>57.9</v>
      </c>
      <c r="AL78" s="26"/>
      <c r="AM78" s="26"/>
      <c r="AN78" s="26">
        <f>57.9</f>
        <v>57.9</v>
      </c>
      <c r="AO78" s="26"/>
      <c r="AP78" s="26"/>
      <c r="AQ78" s="26">
        <f>57.9</f>
        <v>57.9</v>
      </c>
      <c r="AR78" s="26"/>
      <c r="AS78" s="26"/>
      <c r="AT78" s="26">
        <f>57.9</f>
        <v>57.9</v>
      </c>
      <c r="AU78" s="26"/>
      <c r="AV78" s="26"/>
    </row>
    <row r="79" spans="1:48" s="2" customFormat="1" ht="17.25" customHeight="1">
      <c r="A79" s="18"/>
      <c r="B79" s="4"/>
      <c r="C79" s="10"/>
      <c r="D79" s="3"/>
      <c r="E79" s="51"/>
      <c r="F79" s="52"/>
      <c r="G79" s="52"/>
      <c r="H79" s="52"/>
      <c r="I79" s="52"/>
      <c r="J79" s="52"/>
      <c r="K79" s="52"/>
      <c r="L79" s="11"/>
      <c r="M79" s="7"/>
      <c r="N79" s="3">
        <f>SUM(N80:N115)</f>
        <v>324212.5</v>
      </c>
      <c r="O79" s="3">
        <f aca="true" t="shared" si="23" ref="O79:AB79">SUM(O80:O115)</f>
        <v>17822.3</v>
      </c>
      <c r="P79" s="3">
        <f t="shared" si="23"/>
        <v>172205.8</v>
      </c>
      <c r="Q79" s="3">
        <f t="shared" si="23"/>
        <v>320683.30000000005</v>
      </c>
      <c r="R79" s="3">
        <f t="shared" si="23"/>
        <v>17664.199999999997</v>
      </c>
      <c r="S79" s="3">
        <f t="shared" si="23"/>
        <v>172119.19999999998</v>
      </c>
      <c r="T79" s="3">
        <f t="shared" si="23"/>
        <v>332682.5</v>
      </c>
      <c r="U79" s="3">
        <f t="shared" si="23"/>
        <v>10200.2</v>
      </c>
      <c r="V79" s="3">
        <f t="shared" si="23"/>
        <v>173337.99999999997</v>
      </c>
      <c r="W79" s="3">
        <f t="shared" si="23"/>
        <v>313215.6999999999</v>
      </c>
      <c r="X79" s="3">
        <f t="shared" si="23"/>
        <v>15079.400000000001</v>
      </c>
      <c r="Y79" s="3">
        <f>SUM(Y80:Y115)</f>
        <v>181900.80000000002</v>
      </c>
      <c r="Z79" s="3">
        <f t="shared" si="23"/>
        <v>319210.49999999994</v>
      </c>
      <c r="AA79" s="3">
        <f t="shared" si="23"/>
        <v>18438</v>
      </c>
      <c r="AB79" s="3">
        <f t="shared" si="23"/>
        <v>185987.59999999998</v>
      </c>
      <c r="AC79" s="3">
        <f>SUM(AC80:AC115)</f>
        <v>319210.49999999994</v>
      </c>
      <c r="AD79" s="3">
        <f>SUM(AD80:AD115)</f>
        <v>18438</v>
      </c>
      <c r="AE79" s="3">
        <f>SUM(AE80:AE115)</f>
        <v>185987.59999999998</v>
      </c>
      <c r="AF79" s="12"/>
      <c r="AG79" s="58"/>
      <c r="AH79" s="26">
        <f>SUM(AH80:AH115)</f>
        <v>324212.5</v>
      </c>
      <c r="AI79" s="26">
        <f aca="true" t="shared" si="24" ref="AI79:AO79">SUM(AI80:AI115)</f>
        <v>17822.3</v>
      </c>
      <c r="AJ79" s="26">
        <f t="shared" si="24"/>
        <v>172205.8</v>
      </c>
      <c r="AK79" s="26">
        <f t="shared" si="24"/>
        <v>332682.5</v>
      </c>
      <c r="AL79" s="26">
        <f t="shared" si="24"/>
        <v>10200.2</v>
      </c>
      <c r="AM79" s="26">
        <f t="shared" si="24"/>
        <v>173337.99999999997</v>
      </c>
      <c r="AN79" s="26">
        <f t="shared" si="24"/>
        <v>313215.6999999999</v>
      </c>
      <c r="AO79" s="26">
        <f t="shared" si="24"/>
        <v>15079.400000000001</v>
      </c>
      <c r="AP79" s="26">
        <f aca="true" t="shared" si="25" ref="AP79:AV79">SUM(AP80:AP115)</f>
        <v>181900.80000000002</v>
      </c>
      <c r="AQ79" s="26">
        <f t="shared" si="25"/>
        <v>319210.49999999994</v>
      </c>
      <c r="AR79" s="26">
        <f t="shared" si="25"/>
        <v>18438</v>
      </c>
      <c r="AS79" s="26">
        <f t="shared" si="25"/>
        <v>185987.59999999998</v>
      </c>
      <c r="AT79" s="26">
        <f t="shared" si="25"/>
        <v>319210.49999999994</v>
      </c>
      <c r="AU79" s="26">
        <f t="shared" si="25"/>
        <v>18438</v>
      </c>
      <c r="AV79" s="26">
        <f t="shared" si="25"/>
        <v>185987.59999999998</v>
      </c>
    </row>
    <row r="80" spans="1:48" ht="17.25" customHeight="1">
      <c r="A80" s="84" t="s">
        <v>19</v>
      </c>
      <c r="B80" s="91">
        <v>2117</v>
      </c>
      <c r="C80" s="10"/>
      <c r="D80" s="3"/>
      <c r="E80" s="84" t="s">
        <v>165</v>
      </c>
      <c r="F80" s="87" t="s">
        <v>184</v>
      </c>
      <c r="G80" s="84" t="s">
        <v>159</v>
      </c>
      <c r="H80" s="91" t="s">
        <v>185</v>
      </c>
      <c r="I80" s="91" t="s">
        <v>153</v>
      </c>
      <c r="J80" s="90" t="s">
        <v>186</v>
      </c>
      <c r="K80" s="91" t="s">
        <v>154</v>
      </c>
      <c r="L80" s="91" t="s">
        <v>120</v>
      </c>
      <c r="M80" s="90" t="s">
        <v>126</v>
      </c>
      <c r="N80" s="3"/>
      <c r="O80" s="3"/>
      <c r="P80" s="3"/>
      <c r="Q80" s="3"/>
      <c r="R80" s="3"/>
      <c r="S80" s="3"/>
      <c r="T80" s="3"/>
      <c r="U80" s="3"/>
      <c r="V80" s="3"/>
      <c r="W80" s="3"/>
      <c r="X80" s="3"/>
      <c r="Y80" s="3"/>
      <c r="Z80" s="3"/>
      <c r="AA80" s="3"/>
      <c r="AB80" s="3"/>
      <c r="AC80" s="3"/>
      <c r="AD80" s="3"/>
      <c r="AE80" s="3"/>
      <c r="AF80" s="12"/>
      <c r="AG80" s="81" t="s">
        <v>287</v>
      </c>
      <c r="AH80" s="26"/>
      <c r="AI80" s="26"/>
      <c r="AJ80" s="26"/>
      <c r="AK80" s="26"/>
      <c r="AL80" s="26"/>
      <c r="AM80" s="26"/>
      <c r="AN80" s="26"/>
      <c r="AO80" s="26"/>
      <c r="AP80" s="26"/>
      <c r="AQ80" s="26"/>
      <c r="AR80" s="26"/>
      <c r="AS80" s="26"/>
      <c r="AT80" s="26"/>
      <c r="AU80" s="26"/>
      <c r="AV80" s="26"/>
    </row>
    <row r="81" spans="1:48" ht="17.25" customHeight="1">
      <c r="A81" s="84"/>
      <c r="B81" s="91"/>
      <c r="C81" s="10" t="s">
        <v>93</v>
      </c>
      <c r="D81" s="3">
        <v>465</v>
      </c>
      <c r="E81" s="84"/>
      <c r="F81" s="87"/>
      <c r="G81" s="84"/>
      <c r="H81" s="91"/>
      <c r="I81" s="91"/>
      <c r="J81" s="90"/>
      <c r="K81" s="91"/>
      <c r="L81" s="91"/>
      <c r="M81" s="90"/>
      <c r="N81" s="3"/>
      <c r="O81" s="3"/>
      <c r="P81" s="3"/>
      <c r="Q81" s="3"/>
      <c r="R81" s="3"/>
      <c r="S81" s="3"/>
      <c r="T81" s="3"/>
      <c r="U81" s="3"/>
      <c r="V81" s="3"/>
      <c r="W81" s="3"/>
      <c r="X81" s="3"/>
      <c r="Y81" s="3"/>
      <c r="Z81" s="3"/>
      <c r="AA81" s="3"/>
      <c r="AB81" s="3"/>
      <c r="AC81" s="3"/>
      <c r="AD81" s="3"/>
      <c r="AE81" s="3"/>
      <c r="AF81" s="12"/>
      <c r="AG81" s="82"/>
      <c r="AH81" s="26"/>
      <c r="AI81" s="26"/>
      <c r="AJ81" s="26"/>
      <c r="AK81" s="26"/>
      <c r="AL81" s="26"/>
      <c r="AM81" s="26"/>
      <c r="AN81" s="26"/>
      <c r="AO81" s="26"/>
      <c r="AP81" s="26"/>
      <c r="AQ81" s="26"/>
      <c r="AR81" s="26"/>
      <c r="AS81" s="26"/>
      <c r="AT81" s="26"/>
      <c r="AU81" s="26"/>
      <c r="AV81" s="26"/>
    </row>
    <row r="82" spans="1:48" ht="16.5" customHeight="1">
      <c r="A82" s="84"/>
      <c r="B82" s="91"/>
      <c r="C82" s="10" t="s">
        <v>93</v>
      </c>
      <c r="D82" s="3">
        <v>611</v>
      </c>
      <c r="E82" s="84"/>
      <c r="F82" s="87"/>
      <c r="G82" s="84"/>
      <c r="H82" s="91"/>
      <c r="I82" s="91"/>
      <c r="J82" s="90"/>
      <c r="K82" s="91"/>
      <c r="L82" s="91"/>
      <c r="M82" s="90"/>
      <c r="N82" s="3">
        <v>9736.2</v>
      </c>
      <c r="O82" s="3">
        <v>295.7</v>
      </c>
      <c r="P82" s="3">
        <v>6726.7</v>
      </c>
      <c r="Q82" s="3">
        <v>9736.2</v>
      </c>
      <c r="R82" s="3">
        <v>295.7</v>
      </c>
      <c r="S82" s="3">
        <v>6726.7</v>
      </c>
      <c r="T82" s="3"/>
      <c r="U82" s="3"/>
      <c r="V82" s="3"/>
      <c r="W82" s="3"/>
      <c r="X82" s="3"/>
      <c r="Y82" s="3"/>
      <c r="Z82" s="3"/>
      <c r="AA82" s="3"/>
      <c r="AB82" s="3"/>
      <c r="AC82" s="3"/>
      <c r="AD82" s="3"/>
      <c r="AE82" s="3"/>
      <c r="AF82" s="46" t="s">
        <v>285</v>
      </c>
      <c r="AG82" s="82"/>
      <c r="AH82" s="26">
        <v>9736.2</v>
      </c>
      <c r="AI82" s="26">
        <v>295.7</v>
      </c>
      <c r="AJ82" s="26">
        <v>6726.7</v>
      </c>
      <c r="AK82" s="26"/>
      <c r="AL82" s="26"/>
      <c r="AM82" s="26"/>
      <c r="AN82" s="26"/>
      <c r="AO82" s="26"/>
      <c r="AP82" s="26"/>
      <c r="AQ82" s="26"/>
      <c r="AR82" s="26"/>
      <c r="AS82" s="26"/>
      <c r="AT82" s="26"/>
      <c r="AU82" s="26"/>
      <c r="AV82" s="26"/>
    </row>
    <row r="83" spans="1:48" ht="14.25" customHeight="1">
      <c r="A83" s="84"/>
      <c r="B83" s="91"/>
      <c r="C83" s="10" t="s">
        <v>93</v>
      </c>
      <c r="D83" s="3">
        <v>612</v>
      </c>
      <c r="E83" s="84"/>
      <c r="F83" s="87"/>
      <c r="G83" s="84"/>
      <c r="H83" s="91"/>
      <c r="I83" s="91"/>
      <c r="J83" s="90"/>
      <c r="K83" s="91"/>
      <c r="L83" s="91"/>
      <c r="M83" s="90"/>
      <c r="N83" s="3">
        <v>368.7</v>
      </c>
      <c r="O83" s="3"/>
      <c r="P83" s="3"/>
      <c r="Q83" s="3">
        <v>368.7</v>
      </c>
      <c r="R83" s="3"/>
      <c r="S83" s="3"/>
      <c r="T83" s="3"/>
      <c r="U83" s="3"/>
      <c r="V83" s="3"/>
      <c r="W83" s="3"/>
      <c r="X83" s="3"/>
      <c r="Y83" s="3"/>
      <c r="Z83" s="3"/>
      <c r="AA83" s="3"/>
      <c r="AB83" s="3"/>
      <c r="AC83" s="3"/>
      <c r="AD83" s="3"/>
      <c r="AE83" s="3"/>
      <c r="AF83" s="46" t="s">
        <v>284</v>
      </c>
      <c r="AG83" s="82"/>
      <c r="AH83" s="26">
        <v>368.7</v>
      </c>
      <c r="AI83" s="26"/>
      <c r="AJ83" s="26"/>
      <c r="AK83" s="26"/>
      <c r="AL83" s="26"/>
      <c r="AM83" s="26"/>
      <c r="AN83" s="26"/>
      <c r="AO83" s="26"/>
      <c r="AP83" s="26"/>
      <c r="AQ83" s="26"/>
      <c r="AR83" s="26"/>
      <c r="AS83" s="26"/>
      <c r="AT83" s="26"/>
      <c r="AU83" s="26"/>
      <c r="AV83" s="26"/>
    </row>
    <row r="84" spans="1:48" ht="21" customHeight="1">
      <c r="A84" s="84"/>
      <c r="B84" s="91"/>
      <c r="C84" s="10" t="s">
        <v>93</v>
      </c>
      <c r="D84" s="3">
        <v>621</v>
      </c>
      <c r="E84" s="84"/>
      <c r="F84" s="87"/>
      <c r="G84" s="84"/>
      <c r="H84" s="91"/>
      <c r="I84" s="91"/>
      <c r="J84" s="90"/>
      <c r="K84" s="91"/>
      <c r="L84" s="91"/>
      <c r="M84" s="90"/>
      <c r="N84" s="3">
        <v>76027.9</v>
      </c>
      <c r="O84" s="3">
        <v>1549.7</v>
      </c>
      <c r="P84" s="3">
        <v>43744</v>
      </c>
      <c r="Q84" s="3">
        <v>76027.9</v>
      </c>
      <c r="R84" s="3">
        <v>1549.7</v>
      </c>
      <c r="S84" s="3">
        <v>43744</v>
      </c>
      <c r="T84" s="3">
        <v>86934.8</v>
      </c>
      <c r="U84" s="3">
        <v>1453</v>
      </c>
      <c r="V84" s="3">
        <v>51129</v>
      </c>
      <c r="W84" s="3">
        <v>89887</v>
      </c>
      <c r="X84" s="3">
        <v>1604.5</v>
      </c>
      <c r="Y84" s="3">
        <v>52037.6</v>
      </c>
      <c r="Z84" s="3">
        <v>92212.4</v>
      </c>
      <c r="AA84" s="3">
        <v>1403.4</v>
      </c>
      <c r="AB84" s="3">
        <v>54305.7</v>
      </c>
      <c r="AC84" s="3">
        <v>92212.4</v>
      </c>
      <c r="AD84" s="3">
        <v>1403.4</v>
      </c>
      <c r="AE84" s="3">
        <v>54305.7</v>
      </c>
      <c r="AF84" s="46" t="s">
        <v>285</v>
      </c>
      <c r="AG84" s="82"/>
      <c r="AH84" s="26">
        <v>76027.9</v>
      </c>
      <c r="AI84" s="26">
        <v>1549.7</v>
      </c>
      <c r="AJ84" s="26">
        <v>43744</v>
      </c>
      <c r="AK84" s="26">
        <v>86934.8</v>
      </c>
      <c r="AL84" s="26">
        <v>1453</v>
      </c>
      <c r="AM84" s="26">
        <v>51129</v>
      </c>
      <c r="AN84" s="26">
        <v>89887</v>
      </c>
      <c r="AO84" s="26">
        <v>1604.5</v>
      </c>
      <c r="AP84" s="26">
        <v>52037.6</v>
      </c>
      <c r="AQ84" s="26">
        <v>92212.4</v>
      </c>
      <c r="AR84" s="26">
        <v>1403.4</v>
      </c>
      <c r="AS84" s="26">
        <v>54305.7</v>
      </c>
      <c r="AT84" s="26">
        <v>92212.4</v>
      </c>
      <c r="AU84" s="26">
        <v>1403.4</v>
      </c>
      <c r="AV84" s="26">
        <v>54305.7</v>
      </c>
    </row>
    <row r="85" spans="1:48" ht="19.5" customHeight="1">
      <c r="A85" s="84"/>
      <c r="B85" s="91"/>
      <c r="C85" s="10" t="s">
        <v>93</v>
      </c>
      <c r="D85" s="3">
        <v>622</v>
      </c>
      <c r="E85" s="84"/>
      <c r="F85" s="87"/>
      <c r="G85" s="84"/>
      <c r="H85" s="91"/>
      <c r="I85" s="91"/>
      <c r="J85" s="90"/>
      <c r="K85" s="91"/>
      <c r="L85" s="91"/>
      <c r="M85" s="90"/>
      <c r="N85" s="3">
        <v>2730.8</v>
      </c>
      <c r="O85" s="3">
        <v>2170.8</v>
      </c>
      <c r="P85" s="3"/>
      <c r="Q85" s="3">
        <v>2730.8</v>
      </c>
      <c r="R85" s="3">
        <v>2170.8</v>
      </c>
      <c r="S85" s="3"/>
      <c r="T85" s="3">
        <v>11671</v>
      </c>
      <c r="U85" s="3">
        <v>3100.8</v>
      </c>
      <c r="V85" s="3"/>
      <c r="W85" s="3">
        <v>8021</v>
      </c>
      <c r="X85" s="3">
        <v>6400</v>
      </c>
      <c r="Y85" s="3"/>
      <c r="Z85" s="17">
        <v>15400</v>
      </c>
      <c r="AA85" s="17">
        <v>10800</v>
      </c>
      <c r="AB85" s="28"/>
      <c r="AC85" s="17">
        <v>15400</v>
      </c>
      <c r="AD85" s="17">
        <v>10800</v>
      </c>
      <c r="AE85" s="28"/>
      <c r="AF85" s="46" t="s">
        <v>284</v>
      </c>
      <c r="AG85" s="82"/>
      <c r="AH85" s="26">
        <v>2730.8</v>
      </c>
      <c r="AI85" s="26">
        <v>2170.8</v>
      </c>
      <c r="AJ85" s="26"/>
      <c r="AK85" s="26">
        <v>11671</v>
      </c>
      <c r="AL85" s="26">
        <v>3100.8</v>
      </c>
      <c r="AM85" s="26"/>
      <c r="AN85" s="26">
        <v>8021</v>
      </c>
      <c r="AO85" s="26">
        <v>6400</v>
      </c>
      <c r="AP85" s="26"/>
      <c r="AQ85" s="17">
        <v>15400</v>
      </c>
      <c r="AR85" s="17">
        <v>10800</v>
      </c>
      <c r="AS85" s="28"/>
      <c r="AT85" s="17">
        <v>15400</v>
      </c>
      <c r="AU85" s="17">
        <v>10800</v>
      </c>
      <c r="AV85" s="28"/>
    </row>
    <row r="86" spans="1:48" ht="21.75" customHeight="1">
      <c r="A86" s="84"/>
      <c r="B86" s="91"/>
      <c r="C86" s="10" t="s">
        <v>23</v>
      </c>
      <c r="D86" s="3">
        <v>611</v>
      </c>
      <c r="E86" s="84"/>
      <c r="F86" s="87"/>
      <c r="G86" s="84"/>
      <c r="H86" s="91"/>
      <c r="I86" s="91"/>
      <c r="J86" s="90"/>
      <c r="K86" s="91"/>
      <c r="L86" s="91"/>
      <c r="M86" s="90"/>
      <c r="N86" s="3">
        <v>6881.3</v>
      </c>
      <c r="O86" s="3">
        <v>143.7</v>
      </c>
      <c r="P86" s="3">
        <v>3266.2</v>
      </c>
      <c r="Q86" s="3">
        <v>6881.3</v>
      </c>
      <c r="R86" s="3">
        <v>143.7</v>
      </c>
      <c r="S86" s="3">
        <v>3266.2</v>
      </c>
      <c r="T86" s="3"/>
      <c r="U86" s="3"/>
      <c r="V86" s="3"/>
      <c r="W86" s="3"/>
      <c r="X86" s="3"/>
      <c r="Y86" s="3"/>
      <c r="Z86" s="3"/>
      <c r="AA86" s="3"/>
      <c r="AB86" s="3"/>
      <c r="AC86" s="3"/>
      <c r="AD86" s="3"/>
      <c r="AE86" s="3"/>
      <c r="AF86" s="46" t="s">
        <v>285</v>
      </c>
      <c r="AG86" s="82"/>
      <c r="AH86" s="26">
        <v>6881.3</v>
      </c>
      <c r="AI86" s="26">
        <v>143.7</v>
      </c>
      <c r="AJ86" s="26">
        <v>3266.2</v>
      </c>
      <c r="AK86" s="26"/>
      <c r="AL86" s="26"/>
      <c r="AM86" s="26"/>
      <c r="AN86" s="26"/>
      <c r="AO86" s="26"/>
      <c r="AP86" s="26"/>
      <c r="AQ86" s="26"/>
      <c r="AR86" s="26"/>
      <c r="AS86" s="26"/>
      <c r="AT86" s="26"/>
      <c r="AU86" s="26"/>
      <c r="AV86" s="26"/>
    </row>
    <row r="87" spans="1:48" ht="15" customHeight="1">
      <c r="A87" s="84"/>
      <c r="B87" s="91"/>
      <c r="C87" s="10" t="s">
        <v>23</v>
      </c>
      <c r="D87" s="3">
        <v>612</v>
      </c>
      <c r="E87" s="84"/>
      <c r="F87" s="87"/>
      <c r="G87" s="84"/>
      <c r="H87" s="91"/>
      <c r="I87" s="91"/>
      <c r="J87" s="90"/>
      <c r="K87" s="91"/>
      <c r="L87" s="91"/>
      <c r="M87" s="90"/>
      <c r="N87" s="3">
        <v>4586.2</v>
      </c>
      <c r="O87" s="3">
        <v>1724.2</v>
      </c>
      <c r="P87" s="3"/>
      <c r="Q87" s="3">
        <v>4476.6</v>
      </c>
      <c r="R87" s="3">
        <v>1566.1</v>
      </c>
      <c r="S87" s="3"/>
      <c r="T87" s="3"/>
      <c r="U87" s="3"/>
      <c r="V87" s="3"/>
      <c r="W87" s="3"/>
      <c r="X87" s="3"/>
      <c r="Y87" s="3"/>
      <c r="Z87" s="3"/>
      <c r="AA87" s="3"/>
      <c r="AB87" s="3"/>
      <c r="AC87" s="3"/>
      <c r="AD87" s="3"/>
      <c r="AE87" s="3"/>
      <c r="AF87" s="46" t="s">
        <v>284</v>
      </c>
      <c r="AG87" s="82"/>
      <c r="AH87" s="26">
        <v>4586.2</v>
      </c>
      <c r="AI87" s="26">
        <v>1724.2</v>
      </c>
      <c r="AJ87" s="26"/>
      <c r="AK87" s="26"/>
      <c r="AL87" s="26"/>
      <c r="AM87" s="26"/>
      <c r="AN87" s="26"/>
      <c r="AO87" s="26"/>
      <c r="AP87" s="26"/>
      <c r="AQ87" s="26"/>
      <c r="AR87" s="26"/>
      <c r="AS87" s="26"/>
      <c r="AT87" s="26"/>
      <c r="AU87" s="26"/>
      <c r="AV87" s="26"/>
    </row>
    <row r="88" spans="1:48" ht="19.5" customHeight="1">
      <c r="A88" s="84"/>
      <c r="B88" s="91"/>
      <c r="C88" s="10" t="s">
        <v>23</v>
      </c>
      <c r="D88" s="3">
        <v>621</v>
      </c>
      <c r="E88" s="84"/>
      <c r="F88" s="87"/>
      <c r="G88" s="84"/>
      <c r="H88" s="91"/>
      <c r="I88" s="91"/>
      <c r="J88" s="90"/>
      <c r="K88" s="91"/>
      <c r="L88" s="91"/>
      <c r="M88" s="90"/>
      <c r="N88" s="3">
        <v>49355.5</v>
      </c>
      <c r="O88" s="3">
        <v>506.2</v>
      </c>
      <c r="P88" s="3">
        <v>27363.9</v>
      </c>
      <c r="Q88" s="3">
        <v>49355.5</v>
      </c>
      <c r="R88" s="3">
        <v>506.2</v>
      </c>
      <c r="S88" s="3">
        <v>27363.9</v>
      </c>
      <c r="T88" s="3">
        <v>57545.2</v>
      </c>
      <c r="U88" s="3">
        <v>261.2</v>
      </c>
      <c r="V88" s="3">
        <v>31562.2</v>
      </c>
      <c r="W88" s="3">
        <v>62732</v>
      </c>
      <c r="X88" s="3">
        <v>1680.6</v>
      </c>
      <c r="Y88" s="3">
        <v>31727.3</v>
      </c>
      <c r="Z88" s="3">
        <v>64617.1</v>
      </c>
      <c r="AA88" s="3">
        <v>1601.4</v>
      </c>
      <c r="AB88" s="3">
        <v>33106.6</v>
      </c>
      <c r="AC88" s="3">
        <v>64617.1</v>
      </c>
      <c r="AD88" s="3">
        <v>1601.4</v>
      </c>
      <c r="AE88" s="3">
        <v>33106.6</v>
      </c>
      <c r="AF88" s="81" t="s">
        <v>285</v>
      </c>
      <c r="AG88" s="82"/>
      <c r="AH88" s="26">
        <v>49355.5</v>
      </c>
      <c r="AI88" s="26">
        <v>506.2</v>
      </c>
      <c r="AJ88" s="26">
        <v>27363.9</v>
      </c>
      <c r="AK88" s="26">
        <v>57545.2</v>
      </c>
      <c r="AL88" s="26">
        <v>261.2</v>
      </c>
      <c r="AM88" s="26">
        <v>31562.2</v>
      </c>
      <c r="AN88" s="26">
        <v>62732</v>
      </c>
      <c r="AO88" s="26">
        <v>1680.6</v>
      </c>
      <c r="AP88" s="26">
        <v>31727.3</v>
      </c>
      <c r="AQ88" s="26">
        <v>64617.1</v>
      </c>
      <c r="AR88" s="26">
        <v>1601.4</v>
      </c>
      <c r="AS88" s="26">
        <v>33106.6</v>
      </c>
      <c r="AT88" s="26">
        <v>64617.1</v>
      </c>
      <c r="AU88" s="26">
        <v>1601.4</v>
      </c>
      <c r="AV88" s="26">
        <v>33106.6</v>
      </c>
    </row>
    <row r="89" spans="1:48" ht="15.75" customHeight="1">
      <c r="A89" s="84"/>
      <c r="B89" s="91"/>
      <c r="C89" s="10" t="s">
        <v>23</v>
      </c>
      <c r="D89" s="3">
        <v>621</v>
      </c>
      <c r="E89" s="84"/>
      <c r="F89" s="87"/>
      <c r="G89" s="84"/>
      <c r="H89" s="91"/>
      <c r="I89" s="91"/>
      <c r="J89" s="90"/>
      <c r="K89" s="91"/>
      <c r="L89" s="91"/>
      <c r="M89" s="90"/>
      <c r="N89" s="3"/>
      <c r="O89" s="3"/>
      <c r="P89" s="3"/>
      <c r="Q89" s="3"/>
      <c r="R89" s="3"/>
      <c r="S89" s="3"/>
      <c r="T89" s="3"/>
      <c r="U89" s="3"/>
      <c r="V89" s="3"/>
      <c r="W89" s="3"/>
      <c r="X89" s="3"/>
      <c r="Y89" s="3"/>
      <c r="Z89" s="3"/>
      <c r="AA89" s="3"/>
      <c r="AB89" s="3"/>
      <c r="AC89" s="3"/>
      <c r="AD89" s="3"/>
      <c r="AE89" s="3"/>
      <c r="AF89" s="83"/>
      <c r="AG89" s="82"/>
      <c r="AH89" s="26"/>
      <c r="AI89" s="26"/>
      <c r="AJ89" s="26"/>
      <c r="AK89" s="26"/>
      <c r="AL89" s="26"/>
      <c r="AM89" s="26"/>
      <c r="AN89" s="26"/>
      <c r="AO89" s="26"/>
      <c r="AP89" s="26"/>
      <c r="AQ89" s="26"/>
      <c r="AR89" s="26"/>
      <c r="AS89" s="26"/>
      <c r="AT89" s="26"/>
      <c r="AU89" s="26"/>
      <c r="AV89" s="26"/>
    </row>
    <row r="90" spans="1:48" ht="12.75" customHeight="1">
      <c r="A90" s="84"/>
      <c r="B90" s="91"/>
      <c r="C90" s="10" t="s">
        <v>23</v>
      </c>
      <c r="D90" s="3">
        <v>622</v>
      </c>
      <c r="E90" s="84"/>
      <c r="F90" s="87"/>
      <c r="G90" s="84"/>
      <c r="H90" s="91"/>
      <c r="I90" s="91"/>
      <c r="J90" s="90"/>
      <c r="K90" s="91"/>
      <c r="L90" s="91"/>
      <c r="M90" s="90"/>
      <c r="N90" s="3">
        <v>43314.7</v>
      </c>
      <c r="O90" s="3">
        <v>6753.6</v>
      </c>
      <c r="P90" s="3"/>
      <c r="Q90" s="3">
        <v>40040</v>
      </c>
      <c r="R90" s="3">
        <v>6753.6</v>
      </c>
      <c r="S90" s="3"/>
      <c r="T90" s="3">
        <v>43624.2</v>
      </c>
      <c r="U90" s="3">
        <v>850</v>
      </c>
      <c r="V90" s="3"/>
      <c r="W90" s="17">
        <v>13900</v>
      </c>
      <c r="X90" s="3"/>
      <c r="Y90" s="3"/>
      <c r="Z90" s="3">
        <v>8000</v>
      </c>
      <c r="AA90" s="3"/>
      <c r="AB90" s="3"/>
      <c r="AC90" s="3">
        <v>8000</v>
      </c>
      <c r="AD90" s="3"/>
      <c r="AE90" s="3"/>
      <c r="AF90" s="81" t="s">
        <v>284</v>
      </c>
      <c r="AG90" s="82"/>
      <c r="AH90" s="26">
        <v>43314.7</v>
      </c>
      <c r="AI90" s="26">
        <v>6753.6</v>
      </c>
      <c r="AJ90" s="26"/>
      <c r="AK90" s="26">
        <v>43624.2</v>
      </c>
      <c r="AL90" s="26">
        <v>850</v>
      </c>
      <c r="AM90" s="26"/>
      <c r="AN90" s="17">
        <v>13900</v>
      </c>
      <c r="AO90" s="26"/>
      <c r="AP90" s="26"/>
      <c r="AQ90" s="26">
        <v>8000</v>
      </c>
      <c r="AR90" s="26"/>
      <c r="AS90" s="26"/>
      <c r="AT90" s="26">
        <v>8000</v>
      </c>
      <c r="AU90" s="26"/>
      <c r="AV90" s="26"/>
    </row>
    <row r="91" spans="1:48" ht="18.75" customHeight="1">
      <c r="A91" s="84"/>
      <c r="B91" s="91"/>
      <c r="C91" s="10" t="s">
        <v>23</v>
      </c>
      <c r="D91" s="3">
        <v>622</v>
      </c>
      <c r="E91" s="84"/>
      <c r="F91" s="87"/>
      <c r="G91" s="84"/>
      <c r="H91" s="91"/>
      <c r="I91" s="91"/>
      <c r="J91" s="90"/>
      <c r="K91" s="91"/>
      <c r="L91" s="91"/>
      <c r="M91" s="90"/>
      <c r="N91" s="3"/>
      <c r="O91" s="3"/>
      <c r="P91" s="3"/>
      <c r="Q91" s="3"/>
      <c r="R91" s="3"/>
      <c r="S91" s="3"/>
      <c r="T91" s="3"/>
      <c r="U91" s="3"/>
      <c r="V91" s="3"/>
      <c r="W91" s="3"/>
      <c r="X91" s="3"/>
      <c r="Y91" s="3"/>
      <c r="Z91" s="3"/>
      <c r="AA91" s="3"/>
      <c r="AB91" s="3"/>
      <c r="AC91" s="3"/>
      <c r="AD91" s="3"/>
      <c r="AE91" s="3"/>
      <c r="AF91" s="83"/>
      <c r="AG91" s="82"/>
      <c r="AH91" s="26"/>
      <c r="AI91" s="26"/>
      <c r="AJ91" s="26"/>
      <c r="AK91" s="26"/>
      <c r="AL91" s="26"/>
      <c r="AM91" s="26"/>
      <c r="AN91" s="26"/>
      <c r="AO91" s="26"/>
      <c r="AP91" s="26"/>
      <c r="AQ91" s="26"/>
      <c r="AR91" s="26"/>
      <c r="AS91" s="26"/>
      <c r="AT91" s="26"/>
      <c r="AU91" s="26"/>
      <c r="AV91" s="26"/>
    </row>
    <row r="92" spans="1:48" ht="27" customHeight="1">
      <c r="A92" s="84"/>
      <c r="B92" s="91"/>
      <c r="C92" s="25" t="s">
        <v>82</v>
      </c>
      <c r="D92" s="26">
        <v>621</v>
      </c>
      <c r="E92" s="84"/>
      <c r="F92" s="87"/>
      <c r="G92" s="84"/>
      <c r="H92" s="91"/>
      <c r="I92" s="91"/>
      <c r="J92" s="90"/>
      <c r="K92" s="58" t="s">
        <v>134</v>
      </c>
      <c r="L92" s="58" t="s">
        <v>120</v>
      </c>
      <c r="M92" s="57" t="s">
        <v>126</v>
      </c>
      <c r="N92" s="14">
        <f>29479.2+394.3+4374.5</f>
        <v>34248</v>
      </c>
      <c r="O92" s="3">
        <v>1489.9</v>
      </c>
      <c r="P92" s="3">
        <f>29225.6+394.3+2796.2</f>
        <v>32416.1</v>
      </c>
      <c r="Q92" s="3">
        <f>29412.3+394.3+4374.5</f>
        <v>34181.1</v>
      </c>
      <c r="R92" s="3">
        <v>1489.9</v>
      </c>
      <c r="S92" s="3">
        <f>29158.7+394.3+2796.2</f>
        <v>32349.2</v>
      </c>
      <c r="T92" s="3">
        <v>31500</v>
      </c>
      <c r="U92" s="3"/>
      <c r="V92" s="3">
        <v>31500</v>
      </c>
      <c r="W92" s="3">
        <v>36411.8</v>
      </c>
      <c r="X92" s="3"/>
      <c r="Y92" s="3">
        <v>36411.8</v>
      </c>
      <c r="Z92" s="3">
        <v>36411.8</v>
      </c>
      <c r="AA92" s="3"/>
      <c r="AB92" s="3">
        <v>36411.8</v>
      </c>
      <c r="AC92" s="3">
        <v>36411.8</v>
      </c>
      <c r="AD92" s="3"/>
      <c r="AE92" s="3">
        <v>36411.8</v>
      </c>
      <c r="AF92" s="81" t="s">
        <v>285</v>
      </c>
      <c r="AG92" s="82"/>
      <c r="AH92" s="14">
        <f>29479.2+394.3+4374.5</f>
        <v>34248</v>
      </c>
      <c r="AI92" s="26">
        <v>1489.9</v>
      </c>
      <c r="AJ92" s="26">
        <f>29225.6+394.3+2796.2</f>
        <v>32416.1</v>
      </c>
      <c r="AK92" s="26">
        <v>31500</v>
      </c>
      <c r="AL92" s="26"/>
      <c r="AM92" s="26">
        <v>31500</v>
      </c>
      <c r="AN92" s="26">
        <v>36411.8</v>
      </c>
      <c r="AO92" s="26"/>
      <c r="AP92" s="26">
        <v>36411.8</v>
      </c>
      <c r="AQ92" s="26">
        <v>36411.8</v>
      </c>
      <c r="AR92" s="26"/>
      <c r="AS92" s="26">
        <v>36411.8</v>
      </c>
      <c r="AT92" s="26">
        <v>36411.8</v>
      </c>
      <c r="AU92" s="26"/>
      <c r="AV92" s="26">
        <v>36411.8</v>
      </c>
    </row>
    <row r="93" spans="1:48" ht="19.5" customHeight="1">
      <c r="A93" s="84"/>
      <c r="B93" s="91"/>
      <c r="C93" s="10" t="s">
        <v>82</v>
      </c>
      <c r="D93" s="3">
        <v>621</v>
      </c>
      <c r="E93" s="84"/>
      <c r="F93" s="87"/>
      <c r="G93" s="84"/>
      <c r="H93" s="91"/>
      <c r="I93" s="91"/>
      <c r="J93" s="90"/>
      <c r="K93" s="58"/>
      <c r="L93" s="58"/>
      <c r="M93" s="57"/>
      <c r="N93" s="3">
        <v>35135.9</v>
      </c>
      <c r="O93" s="3">
        <v>389.6</v>
      </c>
      <c r="P93" s="3">
        <v>31059.4</v>
      </c>
      <c r="Q93" s="3">
        <v>35135.9</v>
      </c>
      <c r="R93" s="3">
        <v>389.6</v>
      </c>
      <c r="S93" s="3">
        <v>31059.4</v>
      </c>
      <c r="T93" s="3">
        <v>35000</v>
      </c>
      <c r="U93" s="3"/>
      <c r="V93" s="3">
        <v>30730.8</v>
      </c>
      <c r="W93" s="3">
        <v>37170</v>
      </c>
      <c r="X93" s="3">
        <v>487.1</v>
      </c>
      <c r="Y93" s="3">
        <v>31889.9</v>
      </c>
      <c r="Z93" s="3">
        <v>37673.5</v>
      </c>
      <c r="AA93" s="3">
        <v>550.1</v>
      </c>
      <c r="AB93" s="3">
        <v>32161.6</v>
      </c>
      <c r="AC93" s="3">
        <v>37673.5</v>
      </c>
      <c r="AD93" s="3">
        <v>550.1</v>
      </c>
      <c r="AE93" s="3">
        <v>32161.6</v>
      </c>
      <c r="AF93" s="83"/>
      <c r="AG93" s="82"/>
      <c r="AH93" s="26">
        <v>35135.9</v>
      </c>
      <c r="AI93" s="26">
        <v>389.6</v>
      </c>
      <c r="AJ93" s="26">
        <v>31059.4</v>
      </c>
      <c r="AK93" s="26">
        <v>35000</v>
      </c>
      <c r="AL93" s="26"/>
      <c r="AM93" s="26">
        <v>30730.8</v>
      </c>
      <c r="AN93" s="26">
        <v>37170</v>
      </c>
      <c r="AO93" s="26">
        <v>487.1</v>
      </c>
      <c r="AP93" s="26">
        <v>31889.9</v>
      </c>
      <c r="AQ93" s="26">
        <v>37673.5</v>
      </c>
      <c r="AR93" s="26">
        <v>550.1</v>
      </c>
      <c r="AS93" s="26">
        <v>32161.6</v>
      </c>
      <c r="AT93" s="26">
        <v>37673.5</v>
      </c>
      <c r="AU93" s="26">
        <v>550.1</v>
      </c>
      <c r="AV93" s="26">
        <v>32161.6</v>
      </c>
    </row>
    <row r="94" spans="1:48" ht="22.5" customHeight="1">
      <c r="A94" s="84"/>
      <c r="B94" s="91"/>
      <c r="C94" s="25" t="s">
        <v>82</v>
      </c>
      <c r="D94" s="26">
        <v>622</v>
      </c>
      <c r="E94" s="84"/>
      <c r="F94" s="87"/>
      <c r="G94" s="84"/>
      <c r="H94" s="91"/>
      <c r="I94" s="91"/>
      <c r="J94" s="90"/>
      <c r="K94" s="58" t="s">
        <v>134</v>
      </c>
      <c r="L94" s="58" t="s">
        <v>120</v>
      </c>
      <c r="M94" s="57" t="s">
        <v>126</v>
      </c>
      <c r="N94" s="3"/>
      <c r="O94" s="3"/>
      <c r="P94" s="3"/>
      <c r="Q94" s="3"/>
      <c r="R94" s="3"/>
      <c r="S94" s="3"/>
      <c r="T94" s="3"/>
      <c r="U94" s="3"/>
      <c r="V94" s="3"/>
      <c r="W94" s="3">
        <v>3000</v>
      </c>
      <c r="X94" s="3">
        <v>3000</v>
      </c>
      <c r="Y94" s="3"/>
      <c r="Z94" s="3">
        <v>3574.4</v>
      </c>
      <c r="AA94" s="3">
        <v>3574.4</v>
      </c>
      <c r="AB94" s="3"/>
      <c r="AC94" s="3">
        <v>3574.4</v>
      </c>
      <c r="AD94" s="3">
        <v>3574.4</v>
      </c>
      <c r="AE94" s="3"/>
      <c r="AF94" s="81" t="s">
        <v>284</v>
      </c>
      <c r="AG94" s="82"/>
      <c r="AH94" s="26"/>
      <c r="AI94" s="26"/>
      <c r="AJ94" s="26"/>
      <c r="AK94" s="26"/>
      <c r="AL94" s="26"/>
      <c r="AM94" s="26"/>
      <c r="AN94" s="26">
        <v>3000</v>
      </c>
      <c r="AO94" s="26">
        <v>3000</v>
      </c>
      <c r="AP94" s="26"/>
      <c r="AQ94" s="26">
        <v>3574.4</v>
      </c>
      <c r="AR94" s="26">
        <v>3574.4</v>
      </c>
      <c r="AS94" s="26"/>
      <c r="AT94" s="26">
        <v>3574.4</v>
      </c>
      <c r="AU94" s="26">
        <v>3574.4</v>
      </c>
      <c r="AV94" s="26"/>
    </row>
    <row r="95" spans="1:48" ht="19.5" customHeight="1">
      <c r="A95" s="84"/>
      <c r="B95" s="91"/>
      <c r="C95" s="10" t="s">
        <v>82</v>
      </c>
      <c r="D95" s="3">
        <v>622</v>
      </c>
      <c r="E95" s="84"/>
      <c r="F95" s="87"/>
      <c r="G95" s="84"/>
      <c r="H95" s="91"/>
      <c r="I95" s="91"/>
      <c r="J95" s="90"/>
      <c r="K95" s="91" t="s">
        <v>154</v>
      </c>
      <c r="L95" s="85" t="s">
        <v>120</v>
      </c>
      <c r="M95" s="90" t="s">
        <v>155</v>
      </c>
      <c r="N95" s="3">
        <v>2705</v>
      </c>
      <c r="O95" s="3">
        <v>1905</v>
      </c>
      <c r="P95" s="3"/>
      <c r="Q95" s="3">
        <v>2705</v>
      </c>
      <c r="R95" s="3">
        <v>1905</v>
      </c>
      <c r="S95" s="3"/>
      <c r="T95" s="3">
        <v>3367.8</v>
      </c>
      <c r="U95" s="3">
        <v>2267.8</v>
      </c>
      <c r="V95" s="3"/>
      <c r="W95" s="3">
        <v>800</v>
      </c>
      <c r="X95" s="3"/>
      <c r="Y95" s="3"/>
      <c r="Z95" s="3">
        <v>800</v>
      </c>
      <c r="AA95" s="3"/>
      <c r="AB95" s="3"/>
      <c r="AC95" s="3">
        <v>800</v>
      </c>
      <c r="AD95" s="3"/>
      <c r="AE95" s="3"/>
      <c r="AF95" s="82"/>
      <c r="AG95" s="82"/>
      <c r="AH95" s="26">
        <v>2705</v>
      </c>
      <c r="AI95" s="26">
        <v>1905</v>
      </c>
      <c r="AJ95" s="26"/>
      <c r="AK95" s="26">
        <v>3367.8</v>
      </c>
      <c r="AL95" s="26">
        <v>2267.8</v>
      </c>
      <c r="AM95" s="26"/>
      <c r="AN95" s="26">
        <v>800</v>
      </c>
      <c r="AO95" s="26"/>
      <c r="AP95" s="26"/>
      <c r="AQ95" s="26">
        <v>800</v>
      </c>
      <c r="AR95" s="26"/>
      <c r="AS95" s="26"/>
      <c r="AT95" s="26">
        <v>800</v>
      </c>
      <c r="AU95" s="26"/>
      <c r="AV95" s="26"/>
    </row>
    <row r="96" spans="1:48" ht="15.75" customHeight="1">
      <c r="A96" s="84"/>
      <c r="B96" s="91"/>
      <c r="C96" s="10" t="s">
        <v>24</v>
      </c>
      <c r="D96" s="3">
        <v>612</v>
      </c>
      <c r="E96" s="84"/>
      <c r="F96" s="87"/>
      <c r="G96" s="84"/>
      <c r="H96" s="91"/>
      <c r="I96" s="91"/>
      <c r="J96" s="90"/>
      <c r="K96" s="91"/>
      <c r="L96" s="99"/>
      <c r="M96" s="90"/>
      <c r="N96" s="3">
        <v>137.4</v>
      </c>
      <c r="O96" s="3"/>
      <c r="P96" s="3"/>
      <c r="Q96" s="3">
        <v>137.4</v>
      </c>
      <c r="R96" s="3"/>
      <c r="S96" s="3"/>
      <c r="T96" s="3"/>
      <c r="U96" s="3"/>
      <c r="V96" s="3"/>
      <c r="W96" s="3"/>
      <c r="X96" s="3"/>
      <c r="Y96" s="3"/>
      <c r="Z96" s="3"/>
      <c r="AA96" s="3"/>
      <c r="AB96" s="3"/>
      <c r="AC96" s="3"/>
      <c r="AD96" s="3"/>
      <c r="AE96" s="3"/>
      <c r="AF96" s="83"/>
      <c r="AG96" s="82"/>
      <c r="AH96" s="26">
        <v>137.4</v>
      </c>
      <c r="AI96" s="26"/>
      <c r="AJ96" s="26"/>
      <c r="AK96" s="26"/>
      <c r="AL96" s="26"/>
      <c r="AM96" s="26"/>
      <c r="AN96" s="26"/>
      <c r="AO96" s="26"/>
      <c r="AP96" s="26"/>
      <c r="AQ96" s="26"/>
      <c r="AR96" s="26"/>
      <c r="AS96" s="26"/>
      <c r="AT96" s="26"/>
      <c r="AU96" s="26"/>
      <c r="AV96" s="26"/>
    </row>
    <row r="97" spans="1:48" ht="18.75" customHeight="1">
      <c r="A97" s="84"/>
      <c r="B97" s="91"/>
      <c r="C97" s="10" t="s">
        <v>24</v>
      </c>
      <c r="D97" s="3">
        <v>621</v>
      </c>
      <c r="E97" s="84"/>
      <c r="F97" s="87"/>
      <c r="G97" s="84"/>
      <c r="H97" s="91"/>
      <c r="I97" s="91"/>
      <c r="J97" s="90"/>
      <c r="K97" s="91"/>
      <c r="L97" s="99"/>
      <c r="M97" s="90"/>
      <c r="N97" s="3">
        <v>9170.3</v>
      </c>
      <c r="O97" s="3"/>
      <c r="P97" s="3">
        <v>1870</v>
      </c>
      <c r="Q97" s="3">
        <v>9170.3</v>
      </c>
      <c r="R97" s="3"/>
      <c r="S97" s="3">
        <v>1870</v>
      </c>
      <c r="T97" s="3">
        <v>10024.8</v>
      </c>
      <c r="U97" s="3">
        <v>17.6</v>
      </c>
      <c r="V97" s="3">
        <v>2092.8</v>
      </c>
      <c r="W97" s="3">
        <v>10498.1</v>
      </c>
      <c r="X97" s="3">
        <v>27</v>
      </c>
      <c r="Y97" s="3">
        <v>2237.2</v>
      </c>
      <c r="Z97" s="17">
        <v>10708.3</v>
      </c>
      <c r="AA97" s="17">
        <v>20</v>
      </c>
      <c r="AB97" s="17">
        <v>2237.2</v>
      </c>
      <c r="AC97" s="17">
        <v>10708.3</v>
      </c>
      <c r="AD97" s="17">
        <v>20</v>
      </c>
      <c r="AE97" s="17">
        <v>2237.2</v>
      </c>
      <c r="AF97" s="46" t="s">
        <v>285</v>
      </c>
      <c r="AG97" s="82"/>
      <c r="AH97" s="26">
        <v>9170.3</v>
      </c>
      <c r="AI97" s="26"/>
      <c r="AJ97" s="26">
        <v>1870</v>
      </c>
      <c r="AK97" s="26">
        <v>10024.8</v>
      </c>
      <c r="AL97" s="26">
        <v>17.6</v>
      </c>
      <c r="AM97" s="26">
        <v>2092.8</v>
      </c>
      <c r="AN97" s="26">
        <v>10498.1</v>
      </c>
      <c r="AO97" s="26">
        <v>27</v>
      </c>
      <c r="AP97" s="26">
        <v>2237.2</v>
      </c>
      <c r="AQ97" s="17">
        <v>10708.3</v>
      </c>
      <c r="AR97" s="17">
        <v>20</v>
      </c>
      <c r="AS97" s="17">
        <v>2237.2</v>
      </c>
      <c r="AT97" s="17">
        <v>10708.3</v>
      </c>
      <c r="AU97" s="17">
        <v>20</v>
      </c>
      <c r="AV97" s="17">
        <v>2237.2</v>
      </c>
    </row>
    <row r="98" spans="1:48" ht="17.25" customHeight="1">
      <c r="A98" s="84"/>
      <c r="B98" s="91"/>
      <c r="C98" s="10" t="s">
        <v>24</v>
      </c>
      <c r="D98" s="3">
        <v>622</v>
      </c>
      <c r="E98" s="84"/>
      <c r="F98" s="87"/>
      <c r="G98" s="84"/>
      <c r="H98" s="91"/>
      <c r="I98" s="91"/>
      <c r="J98" s="90"/>
      <c r="K98" s="91"/>
      <c r="L98" s="99"/>
      <c r="M98" s="90"/>
      <c r="N98" s="3">
        <v>17636.1</v>
      </c>
      <c r="O98" s="3">
        <v>415.8</v>
      </c>
      <c r="P98" s="3"/>
      <c r="Q98" s="3">
        <v>17582.6</v>
      </c>
      <c r="R98" s="3">
        <v>415.8</v>
      </c>
      <c r="S98" s="3"/>
      <c r="T98" s="3">
        <v>13428.7</v>
      </c>
      <c r="U98" s="3">
        <v>1886.8</v>
      </c>
      <c r="V98" s="3"/>
      <c r="W98" s="3">
        <v>14736</v>
      </c>
      <c r="X98" s="3">
        <v>500</v>
      </c>
      <c r="Y98" s="3"/>
      <c r="Z98" s="17">
        <v>13993</v>
      </c>
      <c r="AA98" s="17">
        <v>200</v>
      </c>
      <c r="AB98" s="28"/>
      <c r="AC98" s="17">
        <v>13993</v>
      </c>
      <c r="AD98" s="17">
        <v>200</v>
      </c>
      <c r="AE98" s="28"/>
      <c r="AF98" s="45" t="s">
        <v>284</v>
      </c>
      <c r="AG98" s="82"/>
      <c r="AH98" s="26">
        <v>17636.1</v>
      </c>
      <c r="AI98" s="26">
        <v>415.8</v>
      </c>
      <c r="AJ98" s="26"/>
      <c r="AK98" s="26">
        <v>13428.7</v>
      </c>
      <c r="AL98" s="26">
        <v>1886.8</v>
      </c>
      <c r="AM98" s="26"/>
      <c r="AN98" s="26">
        <v>14736</v>
      </c>
      <c r="AO98" s="26">
        <v>500</v>
      </c>
      <c r="AP98" s="26"/>
      <c r="AQ98" s="17">
        <v>13993</v>
      </c>
      <c r="AR98" s="17">
        <v>200</v>
      </c>
      <c r="AS98" s="28"/>
      <c r="AT98" s="17">
        <v>13993</v>
      </c>
      <c r="AU98" s="17">
        <v>200</v>
      </c>
      <c r="AV98" s="28"/>
    </row>
    <row r="99" spans="1:48" ht="19.5" customHeight="1">
      <c r="A99" s="84"/>
      <c r="B99" s="91"/>
      <c r="C99" s="10" t="s">
        <v>25</v>
      </c>
      <c r="D99" s="3">
        <v>111</v>
      </c>
      <c r="E99" s="84"/>
      <c r="F99" s="87"/>
      <c r="G99" s="84"/>
      <c r="H99" s="91"/>
      <c r="I99" s="91"/>
      <c r="J99" s="90"/>
      <c r="K99" s="91"/>
      <c r="L99" s="99"/>
      <c r="M99" s="90"/>
      <c r="N99" s="3">
        <v>7369</v>
      </c>
      <c r="O99" s="3"/>
      <c r="P99" s="3">
        <v>7369</v>
      </c>
      <c r="Q99" s="3">
        <v>7369</v>
      </c>
      <c r="R99" s="3"/>
      <c r="S99" s="3">
        <v>7369</v>
      </c>
      <c r="T99" s="3">
        <v>7960</v>
      </c>
      <c r="U99" s="3"/>
      <c r="V99" s="3">
        <v>7960</v>
      </c>
      <c r="W99" s="3">
        <v>8196.4</v>
      </c>
      <c r="X99" s="3"/>
      <c r="Y99" s="3">
        <v>8196.4</v>
      </c>
      <c r="Z99" s="3">
        <v>8196.4</v>
      </c>
      <c r="AA99" s="3"/>
      <c r="AB99" s="3">
        <v>8196.4</v>
      </c>
      <c r="AC99" s="3">
        <v>8196.4</v>
      </c>
      <c r="AD99" s="3"/>
      <c r="AE99" s="3">
        <v>8196.4</v>
      </c>
      <c r="AF99" s="81" t="s">
        <v>285</v>
      </c>
      <c r="AG99" s="82"/>
      <c r="AH99" s="26">
        <v>7369</v>
      </c>
      <c r="AI99" s="26"/>
      <c r="AJ99" s="26">
        <v>7369</v>
      </c>
      <c r="AK99" s="26">
        <v>7960</v>
      </c>
      <c r="AL99" s="26"/>
      <c r="AM99" s="26">
        <v>7960</v>
      </c>
      <c r="AN99" s="26">
        <v>8196.4</v>
      </c>
      <c r="AO99" s="26"/>
      <c r="AP99" s="26">
        <v>8196.4</v>
      </c>
      <c r="AQ99" s="26">
        <v>8196.4</v>
      </c>
      <c r="AR99" s="26"/>
      <c r="AS99" s="26">
        <v>8196.4</v>
      </c>
      <c r="AT99" s="26">
        <v>8196.4</v>
      </c>
      <c r="AU99" s="26"/>
      <c r="AV99" s="26">
        <v>8196.4</v>
      </c>
    </row>
    <row r="100" spans="1:48" ht="23.25" customHeight="1">
      <c r="A100" s="84"/>
      <c r="B100" s="91"/>
      <c r="C100" s="10" t="s">
        <v>25</v>
      </c>
      <c r="D100" s="3">
        <v>112</v>
      </c>
      <c r="E100" s="84"/>
      <c r="F100" s="87"/>
      <c r="G100" s="84"/>
      <c r="H100" s="91"/>
      <c r="I100" s="91"/>
      <c r="J100" s="90"/>
      <c r="K100" s="91"/>
      <c r="L100" s="99"/>
      <c r="M100" s="90"/>
      <c r="N100" s="3">
        <v>7.4</v>
      </c>
      <c r="O100" s="3"/>
      <c r="P100" s="3"/>
      <c r="Q100" s="3">
        <v>7.4</v>
      </c>
      <c r="R100" s="3"/>
      <c r="S100" s="3"/>
      <c r="T100" s="3">
        <v>10</v>
      </c>
      <c r="U100" s="3"/>
      <c r="V100" s="3"/>
      <c r="W100" s="3">
        <v>10</v>
      </c>
      <c r="X100" s="3"/>
      <c r="Y100" s="3"/>
      <c r="Z100" s="3">
        <v>10</v>
      </c>
      <c r="AA100" s="3"/>
      <c r="AB100" s="3"/>
      <c r="AC100" s="3">
        <v>10</v>
      </c>
      <c r="AD100" s="3"/>
      <c r="AE100" s="3"/>
      <c r="AF100" s="82"/>
      <c r="AG100" s="82"/>
      <c r="AH100" s="26">
        <v>7.4</v>
      </c>
      <c r="AI100" s="26"/>
      <c r="AJ100" s="26"/>
      <c r="AK100" s="26">
        <v>10</v>
      </c>
      <c r="AL100" s="26"/>
      <c r="AM100" s="26"/>
      <c r="AN100" s="26">
        <v>10</v>
      </c>
      <c r="AO100" s="26"/>
      <c r="AP100" s="26"/>
      <c r="AQ100" s="26">
        <v>10</v>
      </c>
      <c r="AR100" s="26"/>
      <c r="AS100" s="26"/>
      <c r="AT100" s="26">
        <v>10</v>
      </c>
      <c r="AU100" s="26"/>
      <c r="AV100" s="26"/>
    </row>
    <row r="101" spans="1:48" ht="18.75" customHeight="1">
      <c r="A101" s="84"/>
      <c r="B101" s="91"/>
      <c r="C101" s="10" t="s">
        <v>25</v>
      </c>
      <c r="D101" s="3">
        <v>119</v>
      </c>
      <c r="E101" s="84"/>
      <c r="F101" s="87"/>
      <c r="G101" s="84"/>
      <c r="H101" s="91"/>
      <c r="I101" s="91"/>
      <c r="J101" s="90"/>
      <c r="K101" s="91"/>
      <c r="L101" s="99"/>
      <c r="M101" s="90"/>
      <c r="N101" s="3">
        <v>2188.1</v>
      </c>
      <c r="O101" s="3"/>
      <c r="P101" s="3">
        <v>2188.1</v>
      </c>
      <c r="Q101" s="3">
        <v>2168.4</v>
      </c>
      <c r="R101" s="3"/>
      <c r="S101" s="3">
        <v>2168.4</v>
      </c>
      <c r="T101" s="3">
        <v>2404</v>
      </c>
      <c r="U101" s="3"/>
      <c r="V101" s="3">
        <v>2404</v>
      </c>
      <c r="W101" s="3">
        <v>2475.3</v>
      </c>
      <c r="X101" s="3"/>
      <c r="Y101" s="3">
        <v>2475.3</v>
      </c>
      <c r="Z101" s="3">
        <v>2475.3</v>
      </c>
      <c r="AA101" s="3"/>
      <c r="AB101" s="3">
        <v>2475.3</v>
      </c>
      <c r="AC101" s="3">
        <v>2475.3</v>
      </c>
      <c r="AD101" s="3"/>
      <c r="AE101" s="3">
        <v>2475.3</v>
      </c>
      <c r="AF101" s="82"/>
      <c r="AG101" s="82"/>
      <c r="AH101" s="26">
        <v>2188.1</v>
      </c>
      <c r="AI101" s="26"/>
      <c r="AJ101" s="26">
        <v>2188.1</v>
      </c>
      <c r="AK101" s="26">
        <v>2404</v>
      </c>
      <c r="AL101" s="26"/>
      <c r="AM101" s="26">
        <v>2404</v>
      </c>
      <c r="AN101" s="26">
        <v>2475.3</v>
      </c>
      <c r="AO101" s="26"/>
      <c r="AP101" s="26">
        <v>2475.3</v>
      </c>
      <c r="AQ101" s="26">
        <v>2475.3</v>
      </c>
      <c r="AR101" s="26"/>
      <c r="AS101" s="26">
        <v>2475.3</v>
      </c>
      <c r="AT101" s="26">
        <v>2475.3</v>
      </c>
      <c r="AU101" s="26"/>
      <c r="AV101" s="26">
        <v>2475.3</v>
      </c>
    </row>
    <row r="102" spans="1:48" ht="24.75" customHeight="1">
      <c r="A102" s="84"/>
      <c r="B102" s="91"/>
      <c r="C102" s="10" t="s">
        <v>25</v>
      </c>
      <c r="D102" s="3">
        <v>244</v>
      </c>
      <c r="E102" s="84"/>
      <c r="F102" s="87"/>
      <c r="G102" s="84"/>
      <c r="H102" s="91"/>
      <c r="I102" s="91"/>
      <c r="J102" s="90"/>
      <c r="K102" s="91"/>
      <c r="L102" s="99"/>
      <c r="M102" s="90"/>
      <c r="N102" s="3"/>
      <c r="O102" s="3"/>
      <c r="P102" s="3"/>
      <c r="Q102" s="3"/>
      <c r="R102" s="3"/>
      <c r="S102" s="3"/>
      <c r="T102" s="3"/>
      <c r="U102" s="3"/>
      <c r="V102" s="3"/>
      <c r="W102" s="3"/>
      <c r="X102" s="3"/>
      <c r="Y102" s="3"/>
      <c r="Z102" s="28"/>
      <c r="AA102" s="28"/>
      <c r="AB102" s="28"/>
      <c r="AC102" s="28"/>
      <c r="AD102" s="28"/>
      <c r="AE102" s="28"/>
      <c r="AF102" s="82"/>
      <c r="AG102" s="82"/>
      <c r="AH102" s="26"/>
      <c r="AI102" s="26"/>
      <c r="AJ102" s="26"/>
      <c r="AK102" s="26"/>
      <c r="AL102" s="26"/>
      <c r="AM102" s="26"/>
      <c r="AN102" s="26"/>
      <c r="AO102" s="26"/>
      <c r="AP102" s="26"/>
      <c r="AQ102" s="28"/>
      <c r="AR102" s="28"/>
      <c r="AS102" s="28"/>
      <c r="AT102" s="28"/>
      <c r="AU102" s="28"/>
      <c r="AV102" s="28"/>
    </row>
    <row r="103" spans="1:48" ht="20.25" customHeight="1">
      <c r="A103" s="84"/>
      <c r="B103" s="91"/>
      <c r="C103" s="10" t="s">
        <v>25</v>
      </c>
      <c r="D103" s="3">
        <v>611</v>
      </c>
      <c r="E103" s="84"/>
      <c r="F103" s="87"/>
      <c r="G103" s="84"/>
      <c r="H103" s="91"/>
      <c r="I103" s="91"/>
      <c r="J103" s="90"/>
      <c r="K103" s="91"/>
      <c r="L103" s="99"/>
      <c r="M103" s="90"/>
      <c r="N103" s="3">
        <v>16328.1</v>
      </c>
      <c r="O103" s="3">
        <v>176.3</v>
      </c>
      <c r="P103" s="3">
        <v>12653.3</v>
      </c>
      <c r="Q103" s="3">
        <v>16328.1</v>
      </c>
      <c r="R103" s="3">
        <v>176.3</v>
      </c>
      <c r="S103" s="3">
        <v>12653.3</v>
      </c>
      <c r="T103" s="3">
        <v>2418</v>
      </c>
      <c r="U103" s="3"/>
      <c r="V103" s="3">
        <v>2204.9</v>
      </c>
      <c r="W103" s="3">
        <v>2543.8</v>
      </c>
      <c r="X103" s="3"/>
      <c r="Y103" s="3">
        <v>2322.6</v>
      </c>
      <c r="Z103" s="3">
        <v>2670</v>
      </c>
      <c r="AA103" s="3"/>
      <c r="AB103" s="3">
        <v>2450</v>
      </c>
      <c r="AC103" s="3">
        <v>2670</v>
      </c>
      <c r="AD103" s="3"/>
      <c r="AE103" s="3">
        <v>2450</v>
      </c>
      <c r="AF103" s="82"/>
      <c r="AG103" s="82"/>
      <c r="AH103" s="26">
        <v>16328.1</v>
      </c>
      <c r="AI103" s="26">
        <v>176.3</v>
      </c>
      <c r="AJ103" s="26">
        <v>12653.3</v>
      </c>
      <c r="AK103" s="26">
        <v>2418</v>
      </c>
      <c r="AL103" s="26"/>
      <c r="AM103" s="26">
        <v>2204.9</v>
      </c>
      <c r="AN103" s="26">
        <v>2543.8</v>
      </c>
      <c r="AO103" s="26"/>
      <c r="AP103" s="26">
        <v>2322.6</v>
      </c>
      <c r="AQ103" s="26">
        <v>2670</v>
      </c>
      <c r="AR103" s="26"/>
      <c r="AS103" s="26">
        <v>2450</v>
      </c>
      <c r="AT103" s="26">
        <v>2670</v>
      </c>
      <c r="AU103" s="26"/>
      <c r="AV103" s="26">
        <v>2450</v>
      </c>
    </row>
    <row r="104" spans="1:48" ht="15.75" customHeight="1">
      <c r="A104" s="84"/>
      <c r="B104" s="91"/>
      <c r="C104" s="10" t="s">
        <v>25</v>
      </c>
      <c r="D104" s="3">
        <v>851</v>
      </c>
      <c r="E104" s="84"/>
      <c r="F104" s="87"/>
      <c r="G104" s="84"/>
      <c r="H104" s="91"/>
      <c r="I104" s="91"/>
      <c r="J104" s="90"/>
      <c r="K104" s="91"/>
      <c r="L104" s="99"/>
      <c r="M104" s="90"/>
      <c r="N104" s="3">
        <v>17.3</v>
      </c>
      <c r="O104" s="3"/>
      <c r="P104" s="3"/>
      <c r="Q104" s="3">
        <v>17.3</v>
      </c>
      <c r="R104" s="3"/>
      <c r="S104" s="3"/>
      <c r="T104" s="3">
        <v>17.3</v>
      </c>
      <c r="U104" s="3"/>
      <c r="V104" s="3"/>
      <c r="W104" s="3">
        <v>17.3</v>
      </c>
      <c r="X104" s="3"/>
      <c r="Y104" s="3"/>
      <c r="Z104" s="3">
        <v>17.3</v>
      </c>
      <c r="AA104" s="3"/>
      <c r="AB104" s="3"/>
      <c r="AC104" s="3">
        <v>17.3</v>
      </c>
      <c r="AD104" s="3"/>
      <c r="AE104" s="3"/>
      <c r="AF104" s="82"/>
      <c r="AG104" s="82"/>
      <c r="AH104" s="26">
        <v>17.3</v>
      </c>
      <c r="AI104" s="26"/>
      <c r="AJ104" s="26"/>
      <c r="AK104" s="26">
        <v>17.3</v>
      </c>
      <c r="AL104" s="26"/>
      <c r="AM104" s="26"/>
      <c r="AN104" s="26">
        <v>17.3</v>
      </c>
      <c r="AO104" s="26"/>
      <c r="AP104" s="26"/>
      <c r="AQ104" s="26">
        <v>17.3</v>
      </c>
      <c r="AR104" s="26"/>
      <c r="AS104" s="26"/>
      <c r="AT104" s="26">
        <v>17.3</v>
      </c>
      <c r="AU104" s="26"/>
      <c r="AV104" s="26"/>
    </row>
    <row r="105" spans="1:48" ht="24.75" customHeight="1">
      <c r="A105" s="84"/>
      <c r="B105" s="91"/>
      <c r="C105" s="10" t="s">
        <v>25</v>
      </c>
      <c r="D105" s="3">
        <v>852</v>
      </c>
      <c r="E105" s="84"/>
      <c r="F105" s="87"/>
      <c r="G105" s="84"/>
      <c r="H105" s="91"/>
      <c r="I105" s="91"/>
      <c r="J105" s="90"/>
      <c r="K105" s="91"/>
      <c r="L105" s="99"/>
      <c r="M105" s="90"/>
      <c r="N105" s="3"/>
      <c r="O105" s="3"/>
      <c r="P105" s="3"/>
      <c r="Q105" s="3"/>
      <c r="R105" s="3"/>
      <c r="S105" s="3"/>
      <c r="T105" s="3"/>
      <c r="U105" s="3"/>
      <c r="V105" s="3"/>
      <c r="W105" s="3"/>
      <c r="X105" s="3"/>
      <c r="Y105" s="3"/>
      <c r="Z105" s="3"/>
      <c r="AA105" s="3"/>
      <c r="AB105" s="3"/>
      <c r="AC105" s="3"/>
      <c r="AD105" s="3"/>
      <c r="AE105" s="3"/>
      <c r="AF105" s="83"/>
      <c r="AG105" s="82"/>
      <c r="AH105" s="26"/>
      <c r="AI105" s="26"/>
      <c r="AJ105" s="26"/>
      <c r="AK105" s="26"/>
      <c r="AL105" s="26"/>
      <c r="AM105" s="26"/>
      <c r="AN105" s="26"/>
      <c r="AO105" s="26"/>
      <c r="AP105" s="26"/>
      <c r="AQ105" s="26"/>
      <c r="AR105" s="26"/>
      <c r="AS105" s="26"/>
      <c r="AT105" s="26"/>
      <c r="AU105" s="26"/>
      <c r="AV105" s="26"/>
    </row>
    <row r="106" spans="1:48" ht="18.75" customHeight="1">
      <c r="A106" s="84"/>
      <c r="B106" s="91"/>
      <c r="C106" s="10" t="s">
        <v>25</v>
      </c>
      <c r="D106" s="3">
        <v>121</v>
      </c>
      <c r="E106" s="84"/>
      <c r="F106" s="87"/>
      <c r="G106" s="84"/>
      <c r="H106" s="91"/>
      <c r="I106" s="91"/>
      <c r="J106" s="90"/>
      <c r="K106" s="91"/>
      <c r="L106" s="99"/>
      <c r="M106" s="90"/>
      <c r="N106" s="3">
        <v>2720.9</v>
      </c>
      <c r="O106" s="3"/>
      <c r="P106" s="3">
        <v>2720.9</v>
      </c>
      <c r="Q106" s="3">
        <v>2720.9</v>
      </c>
      <c r="R106" s="3"/>
      <c r="S106" s="3">
        <v>2720.9</v>
      </c>
      <c r="T106" s="3">
        <v>2850.8</v>
      </c>
      <c r="U106" s="3"/>
      <c r="V106" s="3">
        <v>2850.8</v>
      </c>
      <c r="W106" s="3">
        <v>3056.5</v>
      </c>
      <c r="X106" s="3"/>
      <c r="Y106" s="3">
        <v>3056.5</v>
      </c>
      <c r="Z106" s="3">
        <v>3056.5</v>
      </c>
      <c r="AA106" s="3"/>
      <c r="AB106" s="3">
        <v>3056.5</v>
      </c>
      <c r="AC106" s="3">
        <v>3056.5</v>
      </c>
      <c r="AD106" s="3"/>
      <c r="AE106" s="3">
        <v>3056.5</v>
      </c>
      <c r="AF106" s="81" t="s">
        <v>283</v>
      </c>
      <c r="AG106" s="82"/>
      <c r="AH106" s="26">
        <v>2720.9</v>
      </c>
      <c r="AI106" s="26"/>
      <c r="AJ106" s="26">
        <v>2720.9</v>
      </c>
      <c r="AK106" s="26">
        <v>2850.8</v>
      </c>
      <c r="AL106" s="26"/>
      <c r="AM106" s="26">
        <v>2850.8</v>
      </c>
      <c r="AN106" s="26">
        <v>3056.5</v>
      </c>
      <c r="AO106" s="26"/>
      <c r="AP106" s="26">
        <v>3056.5</v>
      </c>
      <c r="AQ106" s="26">
        <v>3056.5</v>
      </c>
      <c r="AR106" s="26"/>
      <c r="AS106" s="26">
        <v>3056.5</v>
      </c>
      <c r="AT106" s="26">
        <v>3056.5</v>
      </c>
      <c r="AU106" s="26"/>
      <c r="AV106" s="26">
        <v>3056.5</v>
      </c>
    </row>
    <row r="107" spans="1:48" ht="20.25" customHeight="1">
      <c r="A107" s="84"/>
      <c r="B107" s="91"/>
      <c r="C107" s="10" t="s">
        <v>25</v>
      </c>
      <c r="D107" s="3">
        <v>122</v>
      </c>
      <c r="E107" s="84"/>
      <c r="F107" s="87"/>
      <c r="G107" s="84"/>
      <c r="H107" s="91"/>
      <c r="I107" s="91"/>
      <c r="J107" s="90"/>
      <c r="K107" s="91"/>
      <c r="L107" s="99"/>
      <c r="M107" s="90"/>
      <c r="N107" s="3">
        <v>42.9</v>
      </c>
      <c r="O107" s="3"/>
      <c r="P107" s="3"/>
      <c r="Q107" s="3">
        <v>38.3</v>
      </c>
      <c r="R107" s="3"/>
      <c r="S107" s="3"/>
      <c r="T107" s="3">
        <v>20</v>
      </c>
      <c r="U107" s="3"/>
      <c r="V107" s="3"/>
      <c r="W107" s="3">
        <v>43</v>
      </c>
      <c r="X107" s="3"/>
      <c r="Y107" s="3"/>
      <c r="Z107" s="3">
        <v>43</v>
      </c>
      <c r="AA107" s="3"/>
      <c r="AB107" s="3"/>
      <c r="AC107" s="3">
        <v>43</v>
      </c>
      <c r="AD107" s="3"/>
      <c r="AE107" s="3"/>
      <c r="AF107" s="82"/>
      <c r="AG107" s="82"/>
      <c r="AH107" s="26">
        <v>42.9</v>
      </c>
      <c r="AI107" s="26"/>
      <c r="AJ107" s="26"/>
      <c r="AK107" s="26">
        <v>20</v>
      </c>
      <c r="AL107" s="26"/>
      <c r="AM107" s="26"/>
      <c r="AN107" s="26">
        <v>43</v>
      </c>
      <c r="AO107" s="26"/>
      <c r="AP107" s="26"/>
      <c r="AQ107" s="26">
        <v>43</v>
      </c>
      <c r="AR107" s="26"/>
      <c r="AS107" s="26"/>
      <c r="AT107" s="26">
        <v>43</v>
      </c>
      <c r="AU107" s="26"/>
      <c r="AV107" s="26"/>
    </row>
    <row r="108" spans="1:48" ht="19.5" customHeight="1">
      <c r="A108" s="84"/>
      <c r="B108" s="91"/>
      <c r="C108" s="10" t="s">
        <v>25</v>
      </c>
      <c r="D108" s="3">
        <v>129</v>
      </c>
      <c r="E108" s="84"/>
      <c r="F108" s="87"/>
      <c r="G108" s="84"/>
      <c r="H108" s="91"/>
      <c r="I108" s="91"/>
      <c r="J108" s="90"/>
      <c r="K108" s="91"/>
      <c r="L108" s="99"/>
      <c r="M108" s="90"/>
      <c r="N108" s="3">
        <v>828.2</v>
      </c>
      <c r="O108" s="3"/>
      <c r="P108" s="3">
        <v>828.2</v>
      </c>
      <c r="Q108" s="3">
        <v>828.2</v>
      </c>
      <c r="R108" s="3"/>
      <c r="S108" s="3">
        <v>828.2</v>
      </c>
      <c r="T108" s="3">
        <v>860.9</v>
      </c>
      <c r="U108" s="3"/>
      <c r="V108" s="3">
        <v>860.9</v>
      </c>
      <c r="W108" s="3">
        <v>923.1</v>
      </c>
      <c r="X108" s="3"/>
      <c r="Y108" s="3">
        <v>923.1</v>
      </c>
      <c r="Z108" s="3">
        <v>923.1</v>
      </c>
      <c r="AA108" s="3"/>
      <c r="AB108" s="3">
        <v>923.1</v>
      </c>
      <c r="AC108" s="3">
        <v>923.1</v>
      </c>
      <c r="AD108" s="3"/>
      <c r="AE108" s="3">
        <v>923.1</v>
      </c>
      <c r="AF108" s="82"/>
      <c r="AG108" s="82"/>
      <c r="AH108" s="26">
        <v>828.2</v>
      </c>
      <c r="AI108" s="26"/>
      <c r="AJ108" s="26">
        <v>828.2</v>
      </c>
      <c r="AK108" s="26">
        <v>860.9</v>
      </c>
      <c r="AL108" s="26"/>
      <c r="AM108" s="26">
        <v>860.9</v>
      </c>
      <c r="AN108" s="26">
        <v>923.1</v>
      </c>
      <c r="AO108" s="26"/>
      <c r="AP108" s="26">
        <v>923.1</v>
      </c>
      <c r="AQ108" s="26">
        <v>923.1</v>
      </c>
      <c r="AR108" s="26"/>
      <c r="AS108" s="26">
        <v>923.1</v>
      </c>
      <c r="AT108" s="26">
        <v>923.1</v>
      </c>
      <c r="AU108" s="26"/>
      <c r="AV108" s="26">
        <v>923.1</v>
      </c>
    </row>
    <row r="109" spans="1:48" ht="19.5" customHeight="1">
      <c r="A109" s="84"/>
      <c r="B109" s="91"/>
      <c r="C109" s="10" t="s">
        <v>25</v>
      </c>
      <c r="D109" s="3">
        <v>244</v>
      </c>
      <c r="E109" s="84"/>
      <c r="F109" s="87"/>
      <c r="G109" s="84"/>
      <c r="H109" s="91"/>
      <c r="I109" s="91"/>
      <c r="J109" s="90"/>
      <c r="K109" s="91"/>
      <c r="L109" s="99"/>
      <c r="M109" s="90"/>
      <c r="N109" s="3">
        <v>2508.8</v>
      </c>
      <c r="O109" s="3">
        <v>301.8</v>
      </c>
      <c r="P109" s="3"/>
      <c r="Q109" s="3">
        <v>2508.7</v>
      </c>
      <c r="R109" s="3">
        <v>301.8</v>
      </c>
      <c r="S109" s="3"/>
      <c r="T109" s="3">
        <v>2172.9</v>
      </c>
      <c r="U109" s="3">
        <v>205</v>
      </c>
      <c r="V109" s="3"/>
      <c r="W109" s="3">
        <v>2277.3</v>
      </c>
      <c r="X109" s="3">
        <v>213.2</v>
      </c>
      <c r="Y109" s="3"/>
      <c r="Z109" s="3">
        <v>2827.3</v>
      </c>
      <c r="AA109" s="3">
        <v>221.7</v>
      </c>
      <c r="AB109" s="3"/>
      <c r="AC109" s="3">
        <v>2827.3</v>
      </c>
      <c r="AD109" s="3">
        <v>221.7</v>
      </c>
      <c r="AE109" s="3"/>
      <c r="AF109" s="82"/>
      <c r="AG109" s="82"/>
      <c r="AH109" s="26">
        <v>2508.8</v>
      </c>
      <c r="AI109" s="26">
        <v>301.8</v>
      </c>
      <c r="AJ109" s="26"/>
      <c r="AK109" s="26">
        <v>2172.9</v>
      </c>
      <c r="AL109" s="26">
        <v>205</v>
      </c>
      <c r="AM109" s="26"/>
      <c r="AN109" s="26">
        <v>2277.3</v>
      </c>
      <c r="AO109" s="26">
        <v>213.2</v>
      </c>
      <c r="AP109" s="26"/>
      <c r="AQ109" s="26">
        <v>2827.3</v>
      </c>
      <c r="AR109" s="26">
        <v>221.7</v>
      </c>
      <c r="AS109" s="26"/>
      <c r="AT109" s="26">
        <v>2827.3</v>
      </c>
      <c r="AU109" s="26">
        <v>221.7</v>
      </c>
      <c r="AV109" s="26"/>
    </row>
    <row r="110" spans="1:48" ht="18.75" customHeight="1">
      <c r="A110" s="84"/>
      <c r="B110" s="91"/>
      <c r="C110" s="10" t="s">
        <v>25</v>
      </c>
      <c r="D110" s="3">
        <v>852</v>
      </c>
      <c r="E110" s="84"/>
      <c r="F110" s="87"/>
      <c r="G110" s="84"/>
      <c r="H110" s="91"/>
      <c r="I110" s="91"/>
      <c r="J110" s="90"/>
      <c r="K110" s="91"/>
      <c r="L110" s="99"/>
      <c r="M110" s="90"/>
      <c r="N110" s="3">
        <v>0.1</v>
      </c>
      <c r="O110" s="3"/>
      <c r="P110" s="3"/>
      <c r="Q110" s="3"/>
      <c r="R110" s="3"/>
      <c r="S110" s="3"/>
      <c r="T110" s="3">
        <v>0.1</v>
      </c>
      <c r="U110" s="3"/>
      <c r="V110" s="3"/>
      <c r="W110" s="3">
        <v>0.1</v>
      </c>
      <c r="X110" s="3"/>
      <c r="Y110" s="3"/>
      <c r="Z110" s="3">
        <v>0.1</v>
      </c>
      <c r="AA110" s="3"/>
      <c r="AB110" s="3"/>
      <c r="AC110" s="3">
        <v>0.1</v>
      </c>
      <c r="AD110" s="3"/>
      <c r="AE110" s="3"/>
      <c r="AF110" s="82"/>
      <c r="AG110" s="82"/>
      <c r="AH110" s="26">
        <v>0.1</v>
      </c>
      <c r="AI110" s="26"/>
      <c r="AJ110" s="26"/>
      <c r="AK110" s="26">
        <v>0.1</v>
      </c>
      <c r="AL110" s="26"/>
      <c r="AM110" s="26"/>
      <c r="AN110" s="26">
        <v>0.1</v>
      </c>
      <c r="AO110" s="26"/>
      <c r="AP110" s="26"/>
      <c r="AQ110" s="26">
        <v>0.1</v>
      </c>
      <c r="AR110" s="26"/>
      <c r="AS110" s="26"/>
      <c r="AT110" s="26">
        <v>0.1</v>
      </c>
      <c r="AU110" s="26"/>
      <c r="AV110" s="26"/>
    </row>
    <row r="111" spans="1:48" ht="18.75" customHeight="1">
      <c r="A111" s="84"/>
      <c r="B111" s="91"/>
      <c r="C111" s="10" t="s">
        <v>25</v>
      </c>
      <c r="D111" s="3">
        <v>323</v>
      </c>
      <c r="E111" s="84"/>
      <c r="F111" s="87"/>
      <c r="G111" s="84"/>
      <c r="H111" s="91"/>
      <c r="I111" s="91"/>
      <c r="J111" s="90"/>
      <c r="K111" s="91"/>
      <c r="L111" s="99"/>
      <c r="M111" s="90"/>
      <c r="N111" s="3"/>
      <c r="O111" s="3"/>
      <c r="P111" s="3"/>
      <c r="Q111" s="3"/>
      <c r="R111" s="3"/>
      <c r="S111" s="3"/>
      <c r="T111" s="3">
        <v>6000</v>
      </c>
      <c r="U111" s="3"/>
      <c r="V111" s="3"/>
      <c r="W111" s="3"/>
      <c r="X111" s="3"/>
      <c r="Y111" s="3"/>
      <c r="Z111" s="3"/>
      <c r="AA111" s="3"/>
      <c r="AB111" s="3"/>
      <c r="AC111" s="3"/>
      <c r="AD111" s="3"/>
      <c r="AE111" s="3"/>
      <c r="AF111" s="82"/>
      <c r="AG111" s="82"/>
      <c r="AH111" s="26"/>
      <c r="AI111" s="26"/>
      <c r="AJ111" s="26"/>
      <c r="AK111" s="26">
        <v>6000</v>
      </c>
      <c r="AL111" s="26"/>
      <c r="AM111" s="26"/>
      <c r="AN111" s="26"/>
      <c r="AO111" s="26"/>
      <c r="AP111" s="26"/>
      <c r="AQ111" s="26"/>
      <c r="AR111" s="26"/>
      <c r="AS111" s="26"/>
      <c r="AT111" s="26"/>
      <c r="AU111" s="26"/>
      <c r="AV111" s="26"/>
    </row>
    <row r="112" spans="1:48" ht="21.75" customHeight="1">
      <c r="A112" s="84"/>
      <c r="B112" s="91"/>
      <c r="C112" s="10" t="s">
        <v>25</v>
      </c>
      <c r="D112" s="3">
        <v>853</v>
      </c>
      <c r="E112" s="84"/>
      <c r="F112" s="87"/>
      <c r="G112" s="84"/>
      <c r="H112" s="91"/>
      <c r="I112" s="91"/>
      <c r="J112" s="90"/>
      <c r="K112" s="91"/>
      <c r="L112" s="99"/>
      <c r="M112" s="90"/>
      <c r="N112" s="3">
        <v>0.5</v>
      </c>
      <c r="O112" s="3"/>
      <c r="P112" s="3"/>
      <c r="Q112" s="3">
        <v>0.5</v>
      </c>
      <c r="R112" s="3"/>
      <c r="S112" s="3"/>
      <c r="T112" s="3">
        <v>1</v>
      </c>
      <c r="U112" s="3"/>
      <c r="V112" s="3"/>
      <c r="W112" s="3">
        <v>1</v>
      </c>
      <c r="X112" s="3"/>
      <c r="Y112" s="3"/>
      <c r="Z112" s="3">
        <v>1</v>
      </c>
      <c r="AA112" s="3"/>
      <c r="AB112" s="3"/>
      <c r="AC112" s="3">
        <v>1</v>
      </c>
      <c r="AD112" s="3"/>
      <c r="AE112" s="3"/>
      <c r="AF112" s="83"/>
      <c r="AG112" s="82"/>
      <c r="AH112" s="26">
        <v>0.5</v>
      </c>
      <c r="AI112" s="26"/>
      <c r="AJ112" s="26"/>
      <c r="AK112" s="26">
        <v>1</v>
      </c>
      <c r="AL112" s="26"/>
      <c r="AM112" s="26"/>
      <c r="AN112" s="26">
        <v>1</v>
      </c>
      <c r="AO112" s="26"/>
      <c r="AP112" s="26"/>
      <c r="AQ112" s="26">
        <v>1</v>
      </c>
      <c r="AR112" s="26"/>
      <c r="AS112" s="26"/>
      <c r="AT112" s="26">
        <v>1</v>
      </c>
      <c r="AU112" s="26"/>
      <c r="AV112" s="26"/>
    </row>
    <row r="113" spans="1:48" ht="24" customHeight="1">
      <c r="A113" s="84"/>
      <c r="B113" s="91"/>
      <c r="C113" s="10" t="s">
        <v>25</v>
      </c>
      <c r="D113" s="3">
        <v>612</v>
      </c>
      <c r="E113" s="84"/>
      <c r="F113" s="87"/>
      <c r="G113" s="84"/>
      <c r="H113" s="91"/>
      <c r="I113" s="91"/>
      <c r="J113" s="90"/>
      <c r="K113" s="91"/>
      <c r="L113" s="99"/>
      <c r="M113" s="90"/>
      <c r="N113" s="3">
        <v>167.2</v>
      </c>
      <c r="O113" s="3"/>
      <c r="P113" s="3"/>
      <c r="Q113" s="3">
        <v>167.2</v>
      </c>
      <c r="R113" s="3"/>
      <c r="S113" s="3"/>
      <c r="T113" s="3">
        <v>30</v>
      </c>
      <c r="U113" s="3"/>
      <c r="V113" s="3"/>
      <c r="W113" s="3">
        <v>30</v>
      </c>
      <c r="X113" s="3"/>
      <c r="Y113" s="3"/>
      <c r="Z113" s="3">
        <v>30</v>
      </c>
      <c r="AA113" s="3"/>
      <c r="AB113" s="3"/>
      <c r="AC113" s="3">
        <v>30</v>
      </c>
      <c r="AD113" s="3"/>
      <c r="AE113" s="3"/>
      <c r="AF113" s="81" t="s">
        <v>285</v>
      </c>
      <c r="AG113" s="82"/>
      <c r="AH113" s="26">
        <v>167.2</v>
      </c>
      <c r="AI113" s="26"/>
      <c r="AJ113" s="26"/>
      <c r="AK113" s="26">
        <v>30</v>
      </c>
      <c r="AL113" s="26"/>
      <c r="AM113" s="26"/>
      <c r="AN113" s="26">
        <v>30</v>
      </c>
      <c r="AO113" s="26"/>
      <c r="AP113" s="26"/>
      <c r="AQ113" s="26">
        <v>30</v>
      </c>
      <c r="AR113" s="26"/>
      <c r="AS113" s="26"/>
      <c r="AT113" s="26">
        <v>30</v>
      </c>
      <c r="AU113" s="26"/>
      <c r="AV113" s="26"/>
    </row>
    <row r="114" spans="1:48" ht="24" customHeight="1">
      <c r="A114" s="84"/>
      <c r="B114" s="91"/>
      <c r="C114" s="10" t="s">
        <v>25</v>
      </c>
      <c r="D114" s="3">
        <v>621</v>
      </c>
      <c r="E114" s="84"/>
      <c r="F114" s="87"/>
      <c r="G114" s="84"/>
      <c r="H114" s="91"/>
      <c r="I114" s="91"/>
      <c r="J114" s="90"/>
      <c r="K114" s="91"/>
      <c r="L114" s="99"/>
      <c r="M114" s="90"/>
      <c r="N114" s="3"/>
      <c r="O114" s="3"/>
      <c r="P114" s="3"/>
      <c r="Q114" s="3"/>
      <c r="R114" s="3"/>
      <c r="S114" s="3"/>
      <c r="T114" s="3">
        <v>14591</v>
      </c>
      <c r="U114" s="3">
        <v>158</v>
      </c>
      <c r="V114" s="3">
        <v>10042.6</v>
      </c>
      <c r="W114" s="3">
        <v>15086</v>
      </c>
      <c r="X114" s="3">
        <v>67</v>
      </c>
      <c r="Y114" s="3">
        <v>10623.1</v>
      </c>
      <c r="Z114" s="3">
        <v>15270</v>
      </c>
      <c r="AA114" s="3">
        <v>67</v>
      </c>
      <c r="AB114" s="3">
        <v>10663.4</v>
      </c>
      <c r="AC114" s="3">
        <v>15270</v>
      </c>
      <c r="AD114" s="3">
        <v>67</v>
      </c>
      <c r="AE114" s="3">
        <v>10663.4</v>
      </c>
      <c r="AF114" s="82"/>
      <c r="AG114" s="82"/>
      <c r="AH114" s="26"/>
      <c r="AI114" s="26"/>
      <c r="AJ114" s="26"/>
      <c r="AK114" s="26">
        <v>14591</v>
      </c>
      <c r="AL114" s="26">
        <v>158</v>
      </c>
      <c r="AM114" s="26">
        <v>10042.6</v>
      </c>
      <c r="AN114" s="26">
        <v>15086</v>
      </c>
      <c r="AO114" s="26">
        <v>67</v>
      </c>
      <c r="AP114" s="26">
        <v>10623.1</v>
      </c>
      <c r="AQ114" s="26">
        <v>15270</v>
      </c>
      <c r="AR114" s="26">
        <v>67</v>
      </c>
      <c r="AS114" s="26">
        <v>10663.4</v>
      </c>
      <c r="AT114" s="26">
        <v>15270</v>
      </c>
      <c r="AU114" s="26">
        <v>67</v>
      </c>
      <c r="AV114" s="26">
        <v>10663.4</v>
      </c>
    </row>
    <row r="115" spans="1:48" ht="21" customHeight="1">
      <c r="A115" s="84"/>
      <c r="B115" s="91"/>
      <c r="C115" s="10" t="s">
        <v>25</v>
      </c>
      <c r="D115" s="3">
        <v>622</v>
      </c>
      <c r="E115" s="84"/>
      <c r="F115" s="87"/>
      <c r="G115" s="84"/>
      <c r="H115" s="91"/>
      <c r="I115" s="91"/>
      <c r="J115" s="90"/>
      <c r="K115" s="91"/>
      <c r="L115" s="86"/>
      <c r="M115" s="90"/>
      <c r="N115" s="3">
        <v>0</v>
      </c>
      <c r="O115" s="3"/>
      <c r="P115" s="3"/>
      <c r="Q115" s="3"/>
      <c r="R115" s="3"/>
      <c r="S115" s="3"/>
      <c r="T115" s="3">
        <v>250</v>
      </c>
      <c r="U115" s="3"/>
      <c r="V115" s="3"/>
      <c r="W115" s="3">
        <v>1400</v>
      </c>
      <c r="X115" s="3">
        <v>1100</v>
      </c>
      <c r="Y115" s="3"/>
      <c r="Z115" s="3">
        <v>300</v>
      </c>
      <c r="AA115" s="3"/>
      <c r="AB115" s="3"/>
      <c r="AC115" s="3">
        <v>300</v>
      </c>
      <c r="AD115" s="3"/>
      <c r="AE115" s="3"/>
      <c r="AF115" s="83"/>
      <c r="AG115" s="83"/>
      <c r="AH115" s="26">
        <v>0</v>
      </c>
      <c r="AI115" s="26"/>
      <c r="AJ115" s="26"/>
      <c r="AK115" s="26">
        <v>250</v>
      </c>
      <c r="AL115" s="26"/>
      <c r="AM115" s="26"/>
      <c r="AN115" s="26">
        <v>1400</v>
      </c>
      <c r="AO115" s="26">
        <v>1100</v>
      </c>
      <c r="AP115" s="26"/>
      <c r="AQ115" s="26">
        <v>300</v>
      </c>
      <c r="AR115" s="26"/>
      <c r="AS115" s="26"/>
      <c r="AT115" s="26">
        <v>300</v>
      </c>
      <c r="AU115" s="26"/>
      <c r="AV115" s="26"/>
    </row>
    <row r="116" spans="1:49" s="8" customFormat="1" ht="21" customHeight="1">
      <c r="A116" s="18"/>
      <c r="B116" s="4"/>
      <c r="C116" s="10"/>
      <c r="D116" s="3"/>
      <c r="E116" s="54"/>
      <c r="F116" s="53"/>
      <c r="G116" s="54"/>
      <c r="H116" s="54"/>
      <c r="I116" s="54"/>
      <c r="J116" s="53"/>
      <c r="K116" s="54"/>
      <c r="L116" s="54"/>
      <c r="M116" s="53"/>
      <c r="N116" s="3">
        <f>SUM(N117+N118)</f>
        <v>13728.7</v>
      </c>
      <c r="O116" s="3">
        <f aca="true" t="shared" si="26" ref="O116:AB116">SUM(O117+O118)</f>
        <v>320.4</v>
      </c>
      <c r="P116" s="3">
        <f t="shared" si="26"/>
        <v>11533</v>
      </c>
      <c r="Q116" s="3">
        <f t="shared" si="26"/>
        <v>13678</v>
      </c>
      <c r="R116" s="3">
        <f t="shared" si="26"/>
        <v>320.4</v>
      </c>
      <c r="S116" s="3">
        <f t="shared" si="26"/>
        <v>11482.3</v>
      </c>
      <c r="T116" s="3">
        <f t="shared" si="26"/>
        <v>13100</v>
      </c>
      <c r="U116" s="3">
        <f t="shared" si="26"/>
        <v>107</v>
      </c>
      <c r="V116" s="3">
        <f t="shared" si="26"/>
        <v>10993.8</v>
      </c>
      <c r="W116" s="3">
        <f t="shared" si="26"/>
        <v>14836.6</v>
      </c>
      <c r="X116" s="3">
        <f t="shared" si="26"/>
        <v>445</v>
      </c>
      <c r="Y116" s="3">
        <f t="shared" si="26"/>
        <v>11367.2</v>
      </c>
      <c r="Z116" s="3">
        <f t="shared" si="26"/>
        <v>14105.6</v>
      </c>
      <c r="AA116" s="3">
        <f t="shared" si="26"/>
        <v>450</v>
      </c>
      <c r="AB116" s="3">
        <f t="shared" si="26"/>
        <v>11367.2</v>
      </c>
      <c r="AC116" s="3">
        <f>SUM(AC117+AC118)</f>
        <v>14105.6</v>
      </c>
      <c r="AD116" s="3">
        <f>SUM(AD117+AD118)</f>
        <v>450</v>
      </c>
      <c r="AE116" s="3">
        <f>SUM(AE117+AE118)</f>
        <v>11367.2</v>
      </c>
      <c r="AF116" s="12"/>
      <c r="AG116" s="58"/>
      <c r="AH116" s="26">
        <f>SUM(AH117+AH118)</f>
        <v>13728.7</v>
      </c>
      <c r="AI116" s="26">
        <f aca="true" t="shared" si="27" ref="AI116:AS116">SUM(AI117+AI118)</f>
        <v>320.4</v>
      </c>
      <c r="AJ116" s="26">
        <f t="shared" si="27"/>
        <v>11533</v>
      </c>
      <c r="AK116" s="26">
        <f t="shared" si="27"/>
        <v>13100</v>
      </c>
      <c r="AL116" s="26">
        <f t="shared" si="27"/>
        <v>107</v>
      </c>
      <c r="AM116" s="26">
        <f t="shared" si="27"/>
        <v>10993.8</v>
      </c>
      <c r="AN116" s="26">
        <f t="shared" si="27"/>
        <v>14836.6</v>
      </c>
      <c r="AO116" s="26">
        <f t="shared" si="27"/>
        <v>445</v>
      </c>
      <c r="AP116" s="26">
        <f t="shared" si="27"/>
        <v>11367.2</v>
      </c>
      <c r="AQ116" s="26">
        <f t="shared" si="27"/>
        <v>14105.6</v>
      </c>
      <c r="AR116" s="26">
        <f t="shared" si="27"/>
        <v>450</v>
      </c>
      <c r="AS116" s="26">
        <f t="shared" si="27"/>
        <v>11367.2</v>
      </c>
      <c r="AT116" s="26">
        <f>SUM(AT117+AT118)</f>
        <v>14105.6</v>
      </c>
      <c r="AU116" s="26">
        <f>SUM(AU117+AU118)</f>
        <v>450</v>
      </c>
      <c r="AV116" s="26">
        <f>SUM(AV117+AV118)</f>
        <v>11367.2</v>
      </c>
      <c r="AW116" s="22"/>
    </row>
    <row r="117" spans="1:48" ht="36" customHeight="1">
      <c r="A117" s="84" t="s">
        <v>71</v>
      </c>
      <c r="B117" s="91">
        <v>2120</v>
      </c>
      <c r="C117" s="10" t="s">
        <v>69</v>
      </c>
      <c r="D117" s="3">
        <v>611</v>
      </c>
      <c r="E117" s="84" t="s">
        <v>165</v>
      </c>
      <c r="F117" s="87" t="s">
        <v>187</v>
      </c>
      <c r="G117" s="84" t="s">
        <v>159</v>
      </c>
      <c r="H117" s="84" t="s">
        <v>188</v>
      </c>
      <c r="I117" s="84" t="s">
        <v>189</v>
      </c>
      <c r="J117" s="87" t="s">
        <v>190</v>
      </c>
      <c r="K117" s="91" t="s">
        <v>135</v>
      </c>
      <c r="L117" s="91" t="s">
        <v>120</v>
      </c>
      <c r="M117" s="90" t="s">
        <v>126</v>
      </c>
      <c r="N117" s="3">
        <f>12943.6+300+200</f>
        <v>13443.6</v>
      </c>
      <c r="O117" s="3">
        <v>220.4</v>
      </c>
      <c r="P117" s="3">
        <v>11533</v>
      </c>
      <c r="Q117" s="3">
        <f>12892.9+300+200</f>
        <v>13392.9</v>
      </c>
      <c r="R117" s="3">
        <v>220.4</v>
      </c>
      <c r="S117" s="3">
        <v>11482.3</v>
      </c>
      <c r="T117" s="3">
        <v>13100</v>
      </c>
      <c r="U117" s="3">
        <v>107</v>
      </c>
      <c r="V117" s="3">
        <v>10993.8</v>
      </c>
      <c r="W117" s="3">
        <v>14036.6</v>
      </c>
      <c r="X117" s="3">
        <v>445</v>
      </c>
      <c r="Y117" s="3">
        <v>11367.2</v>
      </c>
      <c r="Z117" s="3">
        <v>14105.6</v>
      </c>
      <c r="AA117" s="3">
        <v>450</v>
      </c>
      <c r="AB117" s="3">
        <v>11367.2</v>
      </c>
      <c r="AC117" s="3">
        <v>14105.6</v>
      </c>
      <c r="AD117" s="3">
        <v>450</v>
      </c>
      <c r="AE117" s="3">
        <v>11367.2</v>
      </c>
      <c r="AF117" s="48" t="s">
        <v>285</v>
      </c>
      <c r="AG117" s="81" t="s">
        <v>287</v>
      </c>
      <c r="AH117" s="26">
        <f>12943.6+300+200</f>
        <v>13443.6</v>
      </c>
      <c r="AI117" s="26">
        <v>220.4</v>
      </c>
      <c r="AJ117" s="26">
        <v>11533</v>
      </c>
      <c r="AK117" s="26">
        <v>13100</v>
      </c>
      <c r="AL117" s="26">
        <v>107</v>
      </c>
      <c r="AM117" s="26">
        <v>10993.8</v>
      </c>
      <c r="AN117" s="26">
        <v>14036.6</v>
      </c>
      <c r="AO117" s="26">
        <v>445</v>
      </c>
      <c r="AP117" s="26">
        <v>11367.2</v>
      </c>
      <c r="AQ117" s="26">
        <v>14105.6</v>
      </c>
      <c r="AR117" s="26">
        <v>450</v>
      </c>
      <c r="AS117" s="26">
        <v>11367.2</v>
      </c>
      <c r="AT117" s="26">
        <v>14105.6</v>
      </c>
      <c r="AU117" s="26">
        <v>450</v>
      </c>
      <c r="AV117" s="26">
        <v>11367.2</v>
      </c>
    </row>
    <row r="118" spans="1:48" ht="24.75" customHeight="1">
      <c r="A118" s="84"/>
      <c r="B118" s="91"/>
      <c r="C118" s="10" t="s">
        <v>69</v>
      </c>
      <c r="D118" s="3">
        <v>612</v>
      </c>
      <c r="E118" s="84"/>
      <c r="F118" s="87"/>
      <c r="G118" s="84"/>
      <c r="H118" s="84"/>
      <c r="I118" s="84"/>
      <c r="J118" s="87"/>
      <c r="K118" s="91"/>
      <c r="L118" s="91"/>
      <c r="M118" s="90"/>
      <c r="N118" s="3">
        <f>100+185.1</f>
        <v>285.1</v>
      </c>
      <c r="O118" s="3">
        <v>100</v>
      </c>
      <c r="P118" s="3"/>
      <c r="Q118" s="3">
        <f>100+185.1</f>
        <v>285.1</v>
      </c>
      <c r="R118" s="3">
        <v>100</v>
      </c>
      <c r="S118" s="3"/>
      <c r="T118" s="3"/>
      <c r="U118" s="3"/>
      <c r="V118" s="3"/>
      <c r="W118" s="3">
        <v>800</v>
      </c>
      <c r="X118" s="3"/>
      <c r="Y118" s="3"/>
      <c r="Z118" s="3"/>
      <c r="AA118" s="3"/>
      <c r="AB118" s="3"/>
      <c r="AC118" s="3"/>
      <c r="AD118" s="3"/>
      <c r="AE118" s="3"/>
      <c r="AF118" s="4" t="s">
        <v>284</v>
      </c>
      <c r="AG118" s="83"/>
      <c r="AH118" s="26">
        <f>100+185.1</f>
        <v>285.1</v>
      </c>
      <c r="AI118" s="26">
        <v>100</v>
      </c>
      <c r="AJ118" s="26"/>
      <c r="AK118" s="26"/>
      <c r="AL118" s="26"/>
      <c r="AM118" s="26"/>
      <c r="AN118" s="26">
        <v>800</v>
      </c>
      <c r="AO118" s="26"/>
      <c r="AP118" s="26"/>
      <c r="AQ118" s="26"/>
      <c r="AR118" s="26"/>
      <c r="AS118" s="26"/>
      <c r="AT118" s="26"/>
      <c r="AU118" s="26"/>
      <c r="AV118" s="26"/>
    </row>
    <row r="119" spans="1:48" s="2" customFormat="1" ht="18.75" customHeight="1">
      <c r="A119" s="18"/>
      <c r="B119" s="4"/>
      <c r="C119" s="10"/>
      <c r="D119" s="3"/>
      <c r="E119" s="54"/>
      <c r="F119" s="53"/>
      <c r="G119" s="54"/>
      <c r="H119" s="54"/>
      <c r="I119" s="54"/>
      <c r="J119" s="53"/>
      <c r="K119" s="51"/>
      <c r="L119" s="31"/>
      <c r="M119" s="7"/>
      <c r="N119" s="3">
        <f>N120+N121+N122+N123+N124+N125</f>
        <v>102039.4</v>
      </c>
      <c r="O119" s="3">
        <f aca="true" t="shared" si="28" ref="O119:AB119">O120+O121+O122+O123+O124+O125</f>
        <v>38796</v>
      </c>
      <c r="P119" s="3">
        <f t="shared" si="28"/>
        <v>48858.799999999996</v>
      </c>
      <c r="Q119" s="3">
        <f t="shared" si="28"/>
        <v>99453.5</v>
      </c>
      <c r="R119" s="3">
        <f t="shared" si="28"/>
        <v>37881.100000000006</v>
      </c>
      <c r="S119" s="3">
        <f t="shared" si="28"/>
        <v>48430.600000000006</v>
      </c>
      <c r="T119" s="3">
        <f t="shared" si="28"/>
        <v>64240</v>
      </c>
      <c r="U119" s="3">
        <f t="shared" si="28"/>
        <v>5600</v>
      </c>
      <c r="V119" s="3">
        <f t="shared" si="28"/>
        <v>45501.9</v>
      </c>
      <c r="W119" s="3">
        <f t="shared" si="28"/>
        <v>63020.6</v>
      </c>
      <c r="X119" s="3">
        <f t="shared" si="28"/>
        <v>33.5</v>
      </c>
      <c r="Y119" s="3">
        <f t="shared" si="28"/>
        <v>48631.1</v>
      </c>
      <c r="Z119" s="3">
        <f t="shared" si="28"/>
        <v>65297.399999999994</v>
      </c>
      <c r="AA119" s="3">
        <f t="shared" si="28"/>
        <v>153.5</v>
      </c>
      <c r="AB119" s="3">
        <f t="shared" si="28"/>
        <v>48631.1</v>
      </c>
      <c r="AC119" s="3">
        <f>AC120+AC121+AC122+AC123+AC124+AC125</f>
        <v>65297.399999999994</v>
      </c>
      <c r="AD119" s="3">
        <f>AD120+AD121+AD122+AD123+AD124+AD125</f>
        <v>153.5</v>
      </c>
      <c r="AE119" s="3">
        <f>AE120+AE121+AE122+AE123+AE124+AE125</f>
        <v>48631.1</v>
      </c>
      <c r="AF119" s="12"/>
      <c r="AG119" s="58"/>
      <c r="AH119" s="26">
        <f>AH120+AH121+AH122+AH123+AH124+AH125</f>
        <v>102039.4</v>
      </c>
      <c r="AI119" s="26">
        <f aca="true" t="shared" si="29" ref="AI119:AS119">AI120+AI121+AI122+AI123+AI124+AI125</f>
        <v>38796</v>
      </c>
      <c r="AJ119" s="26">
        <f t="shared" si="29"/>
        <v>48858.799999999996</v>
      </c>
      <c r="AK119" s="26">
        <f t="shared" si="29"/>
        <v>64240</v>
      </c>
      <c r="AL119" s="26">
        <f t="shared" si="29"/>
        <v>5600</v>
      </c>
      <c r="AM119" s="26">
        <f t="shared" si="29"/>
        <v>45501.9</v>
      </c>
      <c r="AN119" s="26">
        <f t="shared" si="29"/>
        <v>63020.6</v>
      </c>
      <c r="AO119" s="26">
        <f t="shared" si="29"/>
        <v>33.5</v>
      </c>
      <c r="AP119" s="26">
        <f t="shared" si="29"/>
        <v>48631.1</v>
      </c>
      <c r="AQ119" s="26">
        <f t="shared" si="29"/>
        <v>65297.399999999994</v>
      </c>
      <c r="AR119" s="26">
        <f t="shared" si="29"/>
        <v>153.5</v>
      </c>
      <c r="AS119" s="26">
        <f t="shared" si="29"/>
        <v>48631.1</v>
      </c>
      <c r="AT119" s="26">
        <f>AT120+AT121+AT122+AT123+AT124+AT125</f>
        <v>65297.399999999994</v>
      </c>
      <c r="AU119" s="26">
        <f>AU120+AU121+AU122+AU123+AU124+AU125</f>
        <v>153.5</v>
      </c>
      <c r="AV119" s="26">
        <f>AV120+AV121+AV122+AV123+AV124+AV125</f>
        <v>48631.1</v>
      </c>
    </row>
    <row r="120" spans="1:48" ht="25.5" customHeight="1">
      <c r="A120" s="84" t="s">
        <v>70</v>
      </c>
      <c r="B120" s="91">
        <v>2121</v>
      </c>
      <c r="C120" s="10" t="s">
        <v>69</v>
      </c>
      <c r="D120" s="3">
        <v>611</v>
      </c>
      <c r="E120" s="91" t="s">
        <v>165</v>
      </c>
      <c r="F120" s="90" t="s">
        <v>191</v>
      </c>
      <c r="G120" s="91" t="s">
        <v>159</v>
      </c>
      <c r="H120" s="91" t="s">
        <v>192</v>
      </c>
      <c r="I120" s="91" t="s">
        <v>182</v>
      </c>
      <c r="J120" s="90" t="s">
        <v>193</v>
      </c>
      <c r="K120" s="91" t="s">
        <v>134</v>
      </c>
      <c r="L120" s="104" t="s">
        <v>120</v>
      </c>
      <c r="M120" s="90" t="s">
        <v>126</v>
      </c>
      <c r="N120" s="3">
        <f>3257.5+43821.6+1750</f>
        <v>48829.1</v>
      </c>
      <c r="O120" s="3">
        <f>67.4+40</f>
        <v>107.4</v>
      </c>
      <c r="P120" s="3">
        <f>2721.7+35793.8</f>
        <v>38515.5</v>
      </c>
      <c r="Q120" s="3">
        <f>3232.5+43546.7+1750</f>
        <v>48529.2</v>
      </c>
      <c r="R120" s="3">
        <f>67.4+39.9</f>
        <v>107.30000000000001</v>
      </c>
      <c r="S120" s="3">
        <f>2696.7+35518.8</f>
        <v>38215.5</v>
      </c>
      <c r="T120" s="3">
        <f>3170+40000+1900</f>
        <v>45070</v>
      </c>
      <c r="U120" s="3"/>
      <c r="V120" s="3">
        <f>2612.2+32658.2</f>
        <v>35270.4</v>
      </c>
      <c r="W120" s="3">
        <f>3451.7+43607+2000</f>
        <v>49058.7</v>
      </c>
      <c r="X120" s="3">
        <v>33.5</v>
      </c>
      <c r="Y120" s="3">
        <f>2700.9+35698.7</f>
        <v>38399.6</v>
      </c>
      <c r="Z120" s="3">
        <f>3451.7+45775.7+2000</f>
        <v>51227.399999999994</v>
      </c>
      <c r="AA120" s="3">
        <v>33.5</v>
      </c>
      <c r="AB120" s="3">
        <f>2700.9+35698.7</f>
        <v>38399.6</v>
      </c>
      <c r="AC120" s="3">
        <f>3451.7+45775.7+2000</f>
        <v>51227.399999999994</v>
      </c>
      <c r="AD120" s="3">
        <v>33.5</v>
      </c>
      <c r="AE120" s="3">
        <f>2700.9+35698.7</f>
        <v>38399.6</v>
      </c>
      <c r="AF120" s="48" t="s">
        <v>285</v>
      </c>
      <c r="AG120" s="81" t="s">
        <v>287</v>
      </c>
      <c r="AH120" s="26">
        <f>3257.5+43821.6+1750</f>
        <v>48829.1</v>
      </c>
      <c r="AI120" s="26">
        <f>67.4+40</f>
        <v>107.4</v>
      </c>
      <c r="AJ120" s="26">
        <f>2721.7+35793.8</f>
        <v>38515.5</v>
      </c>
      <c r="AK120" s="26">
        <f>3170+40000+1900</f>
        <v>45070</v>
      </c>
      <c r="AL120" s="26"/>
      <c r="AM120" s="26">
        <f>2612.2+32658.2</f>
        <v>35270.4</v>
      </c>
      <c r="AN120" s="26">
        <f>3451.7+43607+2000</f>
        <v>49058.7</v>
      </c>
      <c r="AO120" s="26">
        <v>33.5</v>
      </c>
      <c r="AP120" s="26">
        <f>2700.9+35698.7</f>
        <v>38399.6</v>
      </c>
      <c r="AQ120" s="26">
        <f>3451.7+45775.7+2000</f>
        <v>51227.399999999994</v>
      </c>
      <c r="AR120" s="26">
        <v>33.5</v>
      </c>
      <c r="AS120" s="26">
        <f>2700.9+35698.7</f>
        <v>38399.6</v>
      </c>
      <c r="AT120" s="26">
        <f>3451.7+45775.7+2000</f>
        <v>51227.399999999994</v>
      </c>
      <c r="AU120" s="26">
        <v>33.5</v>
      </c>
      <c r="AV120" s="26">
        <f>2700.9+35698.7</f>
        <v>38399.6</v>
      </c>
    </row>
    <row r="121" spans="1:48" ht="24.75" customHeight="1">
      <c r="A121" s="84"/>
      <c r="B121" s="91"/>
      <c r="C121" s="10" t="s">
        <v>69</v>
      </c>
      <c r="D121" s="3">
        <v>612</v>
      </c>
      <c r="E121" s="91"/>
      <c r="F121" s="90"/>
      <c r="G121" s="91"/>
      <c r="H121" s="91"/>
      <c r="I121" s="91"/>
      <c r="J121" s="90"/>
      <c r="K121" s="91"/>
      <c r="L121" s="104"/>
      <c r="M121" s="90"/>
      <c r="N121" s="3">
        <f>60+46.5+4449.8+20000+17861.8+299.8</f>
        <v>42717.9</v>
      </c>
      <c r="O121" s="3">
        <f>367+118+299.8+1744.1+18405.6+17687.6</f>
        <v>38622.1</v>
      </c>
      <c r="P121" s="3"/>
      <c r="Q121" s="3">
        <f>59.9+46.5+4434.3+17860+17860+299.9</f>
        <v>40560.6</v>
      </c>
      <c r="R121" s="3">
        <f>367+118+299.8+1744.1+17493+17685.7</f>
        <v>37707.600000000006</v>
      </c>
      <c r="S121" s="3"/>
      <c r="T121" s="3">
        <f>4800+4000</f>
        <v>8800</v>
      </c>
      <c r="U121" s="3">
        <f>1603.9+3996.1</f>
        <v>5600</v>
      </c>
      <c r="V121" s="3"/>
      <c r="W121" s="3">
        <f>510+3000</f>
        <v>3510</v>
      </c>
      <c r="X121" s="3"/>
      <c r="Y121" s="3"/>
      <c r="Z121" s="3">
        <f>70+3000</f>
        <v>3070</v>
      </c>
      <c r="AA121" s="3"/>
      <c r="AB121" s="3"/>
      <c r="AC121" s="3">
        <f>70+3000</f>
        <v>3070</v>
      </c>
      <c r="AD121" s="3"/>
      <c r="AE121" s="3"/>
      <c r="AF121" s="46" t="s">
        <v>284</v>
      </c>
      <c r="AG121" s="82"/>
      <c r="AH121" s="26">
        <f>60+46.5+4449.8+20000+17861.8+299.8</f>
        <v>42717.9</v>
      </c>
      <c r="AI121" s="26">
        <f>367+118+299.8+1744.1+18405.6+17687.6</f>
        <v>38622.1</v>
      </c>
      <c r="AJ121" s="26"/>
      <c r="AK121" s="26">
        <f>4800+4000</f>
        <v>8800</v>
      </c>
      <c r="AL121" s="26">
        <f>1603.9+3996.1</f>
        <v>5600</v>
      </c>
      <c r="AM121" s="26"/>
      <c r="AN121" s="26">
        <f>510+3000</f>
        <v>3510</v>
      </c>
      <c r="AO121" s="26"/>
      <c r="AP121" s="26"/>
      <c r="AQ121" s="26">
        <f>70+3000</f>
        <v>3070</v>
      </c>
      <c r="AR121" s="26"/>
      <c r="AS121" s="26"/>
      <c r="AT121" s="26">
        <f>70+3000</f>
        <v>3070</v>
      </c>
      <c r="AU121" s="26"/>
      <c r="AV121" s="26"/>
    </row>
    <row r="122" spans="1:48" ht="21.75" customHeight="1">
      <c r="A122" s="84"/>
      <c r="B122" s="91"/>
      <c r="C122" s="10" t="s">
        <v>72</v>
      </c>
      <c r="D122" s="3">
        <v>111</v>
      </c>
      <c r="E122" s="91"/>
      <c r="F122" s="90"/>
      <c r="G122" s="91"/>
      <c r="H122" s="91"/>
      <c r="I122" s="91"/>
      <c r="J122" s="90"/>
      <c r="K122" s="91"/>
      <c r="L122" s="104"/>
      <c r="M122" s="90"/>
      <c r="N122" s="3">
        <v>7932.1</v>
      </c>
      <c r="O122" s="3"/>
      <c r="P122" s="3">
        <v>7932.1</v>
      </c>
      <c r="Q122" s="3">
        <v>7851.8</v>
      </c>
      <c r="R122" s="3"/>
      <c r="S122" s="3">
        <v>7851.8</v>
      </c>
      <c r="T122" s="3">
        <v>7858.3</v>
      </c>
      <c r="U122" s="3"/>
      <c r="V122" s="3">
        <v>7858.3</v>
      </c>
      <c r="W122" s="3">
        <v>7858.3</v>
      </c>
      <c r="X122" s="3"/>
      <c r="Y122" s="3">
        <v>7858.3</v>
      </c>
      <c r="Z122" s="3">
        <v>7858.3</v>
      </c>
      <c r="AA122" s="3"/>
      <c r="AB122" s="3">
        <v>7858.3</v>
      </c>
      <c r="AC122" s="3">
        <v>7858.3</v>
      </c>
      <c r="AD122" s="3"/>
      <c r="AE122" s="3">
        <v>7858.3</v>
      </c>
      <c r="AF122" s="81" t="s">
        <v>285</v>
      </c>
      <c r="AG122" s="82"/>
      <c r="AH122" s="26">
        <v>7932.1</v>
      </c>
      <c r="AI122" s="26"/>
      <c r="AJ122" s="26">
        <v>7932.1</v>
      </c>
      <c r="AK122" s="26">
        <v>7858.3</v>
      </c>
      <c r="AL122" s="26"/>
      <c r="AM122" s="26">
        <v>7858.3</v>
      </c>
      <c r="AN122" s="26">
        <v>7858.3</v>
      </c>
      <c r="AO122" s="26"/>
      <c r="AP122" s="26">
        <v>7858.3</v>
      </c>
      <c r="AQ122" s="26">
        <v>7858.3</v>
      </c>
      <c r="AR122" s="26"/>
      <c r="AS122" s="26">
        <v>7858.3</v>
      </c>
      <c r="AT122" s="26">
        <v>7858.3</v>
      </c>
      <c r="AU122" s="26"/>
      <c r="AV122" s="26">
        <v>7858.3</v>
      </c>
    </row>
    <row r="123" spans="1:48" ht="21.75" customHeight="1">
      <c r="A123" s="84"/>
      <c r="B123" s="91"/>
      <c r="C123" s="10" t="s">
        <v>72</v>
      </c>
      <c r="D123" s="3">
        <v>119</v>
      </c>
      <c r="E123" s="91"/>
      <c r="F123" s="90"/>
      <c r="G123" s="91"/>
      <c r="H123" s="91"/>
      <c r="I123" s="91"/>
      <c r="J123" s="90"/>
      <c r="K123" s="91"/>
      <c r="L123" s="104"/>
      <c r="M123" s="90"/>
      <c r="N123" s="3">
        <v>2411.2</v>
      </c>
      <c r="O123" s="32"/>
      <c r="P123" s="3">
        <v>2411.2</v>
      </c>
      <c r="Q123" s="3">
        <v>2363.3</v>
      </c>
      <c r="R123" s="32"/>
      <c r="S123" s="3">
        <v>2363.3</v>
      </c>
      <c r="T123" s="3">
        <v>2373.2</v>
      </c>
      <c r="U123" s="32"/>
      <c r="V123" s="3">
        <v>2373.2</v>
      </c>
      <c r="W123" s="3">
        <v>2373.2</v>
      </c>
      <c r="X123" s="3"/>
      <c r="Y123" s="3">
        <v>2373.2</v>
      </c>
      <c r="Z123" s="3">
        <v>2373.2</v>
      </c>
      <c r="AA123" s="3"/>
      <c r="AB123" s="3">
        <v>2373.2</v>
      </c>
      <c r="AC123" s="3">
        <v>2373.2</v>
      </c>
      <c r="AD123" s="3"/>
      <c r="AE123" s="3">
        <v>2373.2</v>
      </c>
      <c r="AF123" s="82"/>
      <c r="AG123" s="82"/>
      <c r="AH123" s="26">
        <v>2411.2</v>
      </c>
      <c r="AI123" s="32"/>
      <c r="AJ123" s="26">
        <v>2411.2</v>
      </c>
      <c r="AK123" s="26">
        <v>2373.2</v>
      </c>
      <c r="AL123" s="32"/>
      <c r="AM123" s="26">
        <v>2373.2</v>
      </c>
      <c r="AN123" s="26">
        <v>2373.2</v>
      </c>
      <c r="AO123" s="26"/>
      <c r="AP123" s="26">
        <v>2373.2</v>
      </c>
      <c r="AQ123" s="26">
        <v>2373.2</v>
      </c>
      <c r="AR123" s="26"/>
      <c r="AS123" s="26">
        <v>2373.2</v>
      </c>
      <c r="AT123" s="26">
        <v>2373.2</v>
      </c>
      <c r="AU123" s="26"/>
      <c r="AV123" s="26">
        <v>2373.2</v>
      </c>
    </row>
    <row r="124" spans="1:48" ht="20.25" customHeight="1">
      <c r="A124" s="84"/>
      <c r="B124" s="91"/>
      <c r="C124" s="10" t="s">
        <v>72</v>
      </c>
      <c r="D124" s="3">
        <v>244</v>
      </c>
      <c r="E124" s="91"/>
      <c r="F124" s="90"/>
      <c r="G124" s="91"/>
      <c r="H124" s="91"/>
      <c r="I124" s="91"/>
      <c r="J124" s="90"/>
      <c r="K124" s="91"/>
      <c r="L124" s="104"/>
      <c r="M124" s="90"/>
      <c r="N124" s="3">
        <v>148.9</v>
      </c>
      <c r="O124" s="3">
        <v>66.5</v>
      </c>
      <c r="P124" s="3"/>
      <c r="Q124" s="3">
        <v>148.6</v>
      </c>
      <c r="R124" s="3">
        <v>66.2</v>
      </c>
      <c r="S124" s="3"/>
      <c r="T124" s="3">
        <v>138.5</v>
      </c>
      <c r="U124" s="3"/>
      <c r="V124" s="3"/>
      <c r="W124" s="3">
        <v>220.4</v>
      </c>
      <c r="X124" s="3"/>
      <c r="Y124" s="3"/>
      <c r="Z124" s="3">
        <v>768.5</v>
      </c>
      <c r="AA124" s="3">
        <f>120</f>
        <v>120</v>
      </c>
      <c r="AB124" s="3"/>
      <c r="AC124" s="3">
        <v>768.5</v>
      </c>
      <c r="AD124" s="3">
        <f>120</f>
        <v>120</v>
      </c>
      <c r="AE124" s="3"/>
      <c r="AF124" s="82"/>
      <c r="AG124" s="82"/>
      <c r="AH124" s="26">
        <v>148.9</v>
      </c>
      <c r="AI124" s="26">
        <v>66.5</v>
      </c>
      <c r="AJ124" s="26"/>
      <c r="AK124" s="26">
        <v>138.5</v>
      </c>
      <c r="AL124" s="26"/>
      <c r="AM124" s="26"/>
      <c r="AN124" s="26">
        <v>220.4</v>
      </c>
      <c r="AO124" s="26"/>
      <c r="AP124" s="26"/>
      <c r="AQ124" s="26">
        <v>768.5</v>
      </c>
      <c r="AR124" s="26">
        <f>120</f>
        <v>120</v>
      </c>
      <c r="AS124" s="26"/>
      <c r="AT124" s="26">
        <v>768.5</v>
      </c>
      <c r="AU124" s="26">
        <f>120</f>
        <v>120</v>
      </c>
      <c r="AV124" s="26"/>
    </row>
    <row r="125" spans="1:48" ht="22.5" customHeight="1">
      <c r="A125" s="84"/>
      <c r="B125" s="91"/>
      <c r="C125" s="10" t="s">
        <v>72</v>
      </c>
      <c r="D125" s="3">
        <v>853</v>
      </c>
      <c r="E125" s="91"/>
      <c r="F125" s="90"/>
      <c r="G125" s="91"/>
      <c r="H125" s="91"/>
      <c r="I125" s="91"/>
      <c r="J125" s="90"/>
      <c r="K125" s="91"/>
      <c r="L125" s="104"/>
      <c r="M125" s="90"/>
      <c r="N125" s="3">
        <v>0.2</v>
      </c>
      <c r="O125" s="3"/>
      <c r="P125" s="3"/>
      <c r="Q125" s="3">
        <v>0</v>
      </c>
      <c r="R125" s="3"/>
      <c r="S125" s="3"/>
      <c r="T125" s="3"/>
      <c r="U125" s="3"/>
      <c r="V125" s="3"/>
      <c r="W125" s="3"/>
      <c r="X125" s="3"/>
      <c r="Y125" s="3"/>
      <c r="Z125" s="3"/>
      <c r="AA125" s="3"/>
      <c r="AB125" s="3"/>
      <c r="AC125" s="3"/>
      <c r="AD125" s="3"/>
      <c r="AE125" s="3"/>
      <c r="AF125" s="83"/>
      <c r="AG125" s="83"/>
      <c r="AH125" s="26">
        <v>0.2</v>
      </c>
      <c r="AI125" s="26"/>
      <c r="AJ125" s="26"/>
      <c r="AK125" s="26"/>
      <c r="AL125" s="26"/>
      <c r="AM125" s="26"/>
      <c r="AN125" s="26"/>
      <c r="AO125" s="26"/>
      <c r="AP125" s="26"/>
      <c r="AQ125" s="26"/>
      <c r="AR125" s="26"/>
      <c r="AS125" s="26"/>
      <c r="AT125" s="26"/>
      <c r="AU125" s="26"/>
      <c r="AV125" s="26"/>
    </row>
    <row r="126" spans="1:48" s="2" customFormat="1" ht="19.5" customHeight="1">
      <c r="A126" s="18"/>
      <c r="B126" s="4"/>
      <c r="C126" s="10"/>
      <c r="D126" s="3"/>
      <c r="E126" s="51"/>
      <c r="F126" s="33"/>
      <c r="G126" s="51"/>
      <c r="H126" s="51"/>
      <c r="I126" s="51"/>
      <c r="J126" s="33"/>
      <c r="K126" s="51"/>
      <c r="L126" s="56"/>
      <c r="M126" s="33"/>
      <c r="N126" s="3">
        <f>SUM(N127)</f>
        <v>196</v>
      </c>
      <c r="O126" s="3">
        <f aca="true" t="shared" si="30" ref="O126:AE126">SUM(O127)</f>
        <v>196</v>
      </c>
      <c r="P126" s="3">
        <f t="shared" si="30"/>
        <v>0</v>
      </c>
      <c r="Q126" s="3">
        <f t="shared" si="30"/>
        <v>196</v>
      </c>
      <c r="R126" s="3">
        <f t="shared" si="30"/>
        <v>196</v>
      </c>
      <c r="S126" s="3">
        <f t="shared" si="30"/>
        <v>0</v>
      </c>
      <c r="T126" s="3">
        <f t="shared" si="30"/>
        <v>150</v>
      </c>
      <c r="U126" s="3">
        <f t="shared" si="30"/>
        <v>150</v>
      </c>
      <c r="V126" s="3">
        <f t="shared" si="30"/>
        <v>0</v>
      </c>
      <c r="W126" s="3">
        <f t="shared" si="30"/>
        <v>500</v>
      </c>
      <c r="X126" s="3">
        <f t="shared" si="30"/>
        <v>500</v>
      </c>
      <c r="Y126" s="3">
        <f t="shared" si="30"/>
        <v>0</v>
      </c>
      <c r="Z126" s="3">
        <f t="shared" si="30"/>
        <v>355</v>
      </c>
      <c r="AA126" s="3">
        <f t="shared" si="30"/>
        <v>355</v>
      </c>
      <c r="AB126" s="3">
        <f t="shared" si="30"/>
        <v>0</v>
      </c>
      <c r="AC126" s="3">
        <f t="shared" si="30"/>
        <v>355</v>
      </c>
      <c r="AD126" s="3">
        <f t="shared" si="30"/>
        <v>355</v>
      </c>
      <c r="AE126" s="3">
        <f t="shared" si="30"/>
        <v>0</v>
      </c>
      <c r="AF126" s="12"/>
      <c r="AG126" s="58"/>
      <c r="AH126" s="26">
        <f>SUM(AH127)</f>
        <v>196</v>
      </c>
      <c r="AI126" s="26">
        <f aca="true" t="shared" si="31" ref="AI126:AV126">SUM(AI127)</f>
        <v>196</v>
      </c>
      <c r="AJ126" s="26">
        <f t="shared" si="31"/>
        <v>0</v>
      </c>
      <c r="AK126" s="26">
        <f t="shared" si="31"/>
        <v>150</v>
      </c>
      <c r="AL126" s="26">
        <f t="shared" si="31"/>
        <v>150</v>
      </c>
      <c r="AM126" s="26">
        <f t="shared" si="31"/>
        <v>0</v>
      </c>
      <c r="AN126" s="26">
        <f t="shared" si="31"/>
        <v>500</v>
      </c>
      <c r="AO126" s="26">
        <f t="shared" si="31"/>
        <v>500</v>
      </c>
      <c r="AP126" s="26">
        <f t="shared" si="31"/>
        <v>0</v>
      </c>
      <c r="AQ126" s="26">
        <f t="shared" si="31"/>
        <v>355</v>
      </c>
      <c r="AR126" s="26">
        <f t="shared" si="31"/>
        <v>355</v>
      </c>
      <c r="AS126" s="26">
        <f t="shared" si="31"/>
        <v>0</v>
      </c>
      <c r="AT126" s="26">
        <f t="shared" si="31"/>
        <v>355</v>
      </c>
      <c r="AU126" s="26">
        <f t="shared" si="31"/>
        <v>355</v>
      </c>
      <c r="AV126" s="26">
        <f t="shared" si="31"/>
        <v>0</v>
      </c>
    </row>
    <row r="127" spans="1:48" ht="97.5" customHeight="1">
      <c r="A127" s="84" t="s">
        <v>68</v>
      </c>
      <c r="B127" s="4">
        <v>2123</v>
      </c>
      <c r="C127" s="98" t="s">
        <v>69</v>
      </c>
      <c r="D127" s="84">
        <v>612</v>
      </c>
      <c r="E127" s="52" t="s">
        <v>165</v>
      </c>
      <c r="F127" s="7" t="s">
        <v>194</v>
      </c>
      <c r="G127" s="52" t="s">
        <v>159</v>
      </c>
      <c r="H127" s="52" t="s">
        <v>195</v>
      </c>
      <c r="I127" s="52" t="s">
        <v>196</v>
      </c>
      <c r="J127" s="7" t="s">
        <v>197</v>
      </c>
      <c r="K127" s="52" t="s">
        <v>134</v>
      </c>
      <c r="L127" s="52" t="s">
        <v>120</v>
      </c>
      <c r="M127" s="7" t="s">
        <v>126</v>
      </c>
      <c r="N127" s="91">
        <f>196</f>
        <v>196</v>
      </c>
      <c r="O127" s="84">
        <v>196</v>
      </c>
      <c r="P127" s="18"/>
      <c r="Q127" s="18">
        <v>196</v>
      </c>
      <c r="R127" s="18">
        <v>196</v>
      </c>
      <c r="S127" s="18"/>
      <c r="T127" s="91">
        <v>150</v>
      </c>
      <c r="U127" s="18">
        <v>150</v>
      </c>
      <c r="V127" s="91"/>
      <c r="W127" s="91">
        <v>500</v>
      </c>
      <c r="X127" s="4">
        <v>500</v>
      </c>
      <c r="Y127" s="91"/>
      <c r="Z127" s="91">
        <v>355</v>
      </c>
      <c r="AA127" s="4">
        <v>355</v>
      </c>
      <c r="AB127" s="4"/>
      <c r="AC127" s="91">
        <v>355</v>
      </c>
      <c r="AD127" s="4">
        <v>355</v>
      </c>
      <c r="AE127" s="4"/>
      <c r="AF127" s="46" t="s">
        <v>284</v>
      </c>
      <c r="AG127" s="58" t="s">
        <v>287</v>
      </c>
      <c r="AH127" s="91">
        <f>196</f>
        <v>196</v>
      </c>
      <c r="AI127" s="84">
        <v>196</v>
      </c>
      <c r="AJ127" s="24"/>
      <c r="AK127" s="91">
        <v>150</v>
      </c>
      <c r="AL127" s="24">
        <v>150</v>
      </c>
      <c r="AM127" s="91"/>
      <c r="AN127" s="91">
        <v>500</v>
      </c>
      <c r="AO127" s="23">
        <v>500</v>
      </c>
      <c r="AP127" s="91"/>
      <c r="AQ127" s="91">
        <v>355</v>
      </c>
      <c r="AR127" s="23">
        <v>355</v>
      </c>
      <c r="AS127" s="23"/>
      <c r="AT127" s="91">
        <v>355</v>
      </c>
      <c r="AU127" s="23">
        <v>355</v>
      </c>
      <c r="AV127" s="23"/>
    </row>
    <row r="128" spans="1:48" ht="154.5" customHeight="1" hidden="1" thickBot="1">
      <c r="A128" s="84"/>
      <c r="B128" s="4"/>
      <c r="C128" s="98"/>
      <c r="D128" s="84"/>
      <c r="E128" s="52"/>
      <c r="F128" s="7"/>
      <c r="G128" s="52"/>
      <c r="H128" s="52"/>
      <c r="I128" s="52"/>
      <c r="J128" s="7"/>
      <c r="K128" s="52"/>
      <c r="L128" s="11"/>
      <c r="M128" s="7"/>
      <c r="N128" s="91"/>
      <c r="O128" s="84"/>
      <c r="P128" s="18"/>
      <c r="Q128" s="18"/>
      <c r="R128" s="18"/>
      <c r="S128" s="18"/>
      <c r="T128" s="91"/>
      <c r="U128" s="18"/>
      <c r="V128" s="91"/>
      <c r="W128" s="91"/>
      <c r="X128" s="4"/>
      <c r="Y128" s="91"/>
      <c r="Z128" s="91"/>
      <c r="AA128" s="4"/>
      <c r="AB128" s="4"/>
      <c r="AC128" s="91"/>
      <c r="AD128" s="4"/>
      <c r="AE128" s="4"/>
      <c r="AF128" s="12"/>
      <c r="AG128" s="58"/>
      <c r="AH128" s="91"/>
      <c r="AI128" s="84"/>
      <c r="AJ128" s="24"/>
      <c r="AK128" s="91"/>
      <c r="AL128" s="24"/>
      <c r="AM128" s="91"/>
      <c r="AN128" s="91"/>
      <c r="AO128" s="23"/>
      <c r="AP128" s="91"/>
      <c r="AQ128" s="91"/>
      <c r="AR128" s="23"/>
      <c r="AS128" s="23"/>
      <c r="AT128" s="91"/>
      <c r="AU128" s="23"/>
      <c r="AV128" s="23"/>
    </row>
    <row r="129" spans="1:49" s="8" customFormat="1" ht="17.25" customHeight="1">
      <c r="A129" s="18"/>
      <c r="B129" s="4"/>
      <c r="C129" s="19"/>
      <c r="D129" s="18"/>
      <c r="E129" s="52"/>
      <c r="F129" s="7"/>
      <c r="G129" s="52"/>
      <c r="H129" s="52"/>
      <c r="I129" s="52"/>
      <c r="J129" s="7"/>
      <c r="K129" s="52"/>
      <c r="L129" s="11"/>
      <c r="M129" s="7"/>
      <c r="N129" s="13">
        <f>N130+N131+N132+N133+N134+N135+N136+N137</f>
        <v>45134.200000000004</v>
      </c>
      <c r="O129" s="13">
        <f aca="true" t="shared" si="32" ref="O129:AB129">O130+O131+O132+O133+O134+O135+O136+O137</f>
        <v>819.9000000000001</v>
      </c>
      <c r="P129" s="13">
        <f t="shared" si="32"/>
        <v>29418.5</v>
      </c>
      <c r="Q129" s="13">
        <f t="shared" si="32"/>
        <v>45112.700000000004</v>
      </c>
      <c r="R129" s="13">
        <f t="shared" si="32"/>
        <v>819.9000000000001</v>
      </c>
      <c r="S129" s="13">
        <f t="shared" si="32"/>
        <v>29397.5</v>
      </c>
      <c r="T129" s="13">
        <f t="shared" si="32"/>
        <v>43885</v>
      </c>
      <c r="U129" s="13">
        <f t="shared" si="32"/>
        <v>100</v>
      </c>
      <c r="V129" s="13">
        <f t="shared" si="32"/>
        <v>29383.6</v>
      </c>
      <c r="W129" s="13">
        <f t="shared" si="32"/>
        <v>46981</v>
      </c>
      <c r="X129" s="13">
        <f t="shared" si="32"/>
        <v>100</v>
      </c>
      <c r="Y129" s="13">
        <f t="shared" si="32"/>
        <v>31893.9</v>
      </c>
      <c r="Z129" s="13">
        <f t="shared" si="32"/>
        <v>46638.6</v>
      </c>
      <c r="AA129" s="13">
        <f t="shared" si="32"/>
        <v>343.2</v>
      </c>
      <c r="AB129" s="13">
        <f t="shared" si="32"/>
        <v>31893.9</v>
      </c>
      <c r="AC129" s="13">
        <f>AC130+AC131+AC132+AC133+AC134+AC135+AC136+AC137</f>
        <v>46638.6</v>
      </c>
      <c r="AD129" s="13">
        <f>AD130+AD131+AD132+AD133+AD134+AD135+AD136+AD137</f>
        <v>343.2</v>
      </c>
      <c r="AE129" s="13">
        <f>AE130+AE131+AE132+AE133+AE134+AE135+AE136+AE137</f>
        <v>31893.9</v>
      </c>
      <c r="AF129" s="12"/>
      <c r="AG129" s="58"/>
      <c r="AH129" s="35">
        <f>AH130+AH131+AH132+AH133+AH134+AH135+AH136+AH137</f>
        <v>45134.200000000004</v>
      </c>
      <c r="AI129" s="35">
        <f aca="true" t="shared" si="33" ref="AI129:AS129">AI130+AI131+AI132+AI133+AI134+AI135+AI136+AI137</f>
        <v>819.9000000000001</v>
      </c>
      <c r="AJ129" s="35">
        <f t="shared" si="33"/>
        <v>29418.5</v>
      </c>
      <c r="AK129" s="35">
        <f t="shared" si="33"/>
        <v>43885</v>
      </c>
      <c r="AL129" s="35">
        <f t="shared" si="33"/>
        <v>100</v>
      </c>
      <c r="AM129" s="35">
        <f t="shared" si="33"/>
        <v>29383.6</v>
      </c>
      <c r="AN129" s="35">
        <f t="shared" si="33"/>
        <v>46981</v>
      </c>
      <c r="AO129" s="35">
        <f t="shared" si="33"/>
        <v>100</v>
      </c>
      <c r="AP129" s="35">
        <f t="shared" si="33"/>
        <v>31893.9</v>
      </c>
      <c r="AQ129" s="35">
        <f t="shared" si="33"/>
        <v>46638.6</v>
      </c>
      <c r="AR129" s="35">
        <f t="shared" si="33"/>
        <v>343.2</v>
      </c>
      <c r="AS129" s="35">
        <f t="shared" si="33"/>
        <v>31893.9</v>
      </c>
      <c r="AT129" s="35">
        <f>AT130+AT131+AT132+AT133+AT134+AT135+AT136+AT137</f>
        <v>46638.6</v>
      </c>
      <c r="AU129" s="35">
        <f>AU130+AU131+AU132+AU133+AU134+AU135+AU136+AU137</f>
        <v>343.2</v>
      </c>
      <c r="AV129" s="35">
        <f>AV130+AV131+AV132+AV133+AV134+AV135+AV136+AV137</f>
        <v>31893.9</v>
      </c>
      <c r="AW129" s="22"/>
    </row>
    <row r="130" spans="1:48" ht="22.5" customHeight="1">
      <c r="A130" s="84" t="s">
        <v>75</v>
      </c>
      <c r="B130" s="91">
        <v>2124</v>
      </c>
      <c r="C130" s="10" t="s">
        <v>23</v>
      </c>
      <c r="D130" s="3">
        <v>622</v>
      </c>
      <c r="E130" s="84" t="s">
        <v>165</v>
      </c>
      <c r="F130" s="87" t="s">
        <v>198</v>
      </c>
      <c r="G130" s="84" t="s">
        <v>159</v>
      </c>
      <c r="H130" s="84" t="s">
        <v>199</v>
      </c>
      <c r="I130" s="84" t="s">
        <v>182</v>
      </c>
      <c r="J130" s="87" t="s">
        <v>197</v>
      </c>
      <c r="K130" s="91" t="s">
        <v>136</v>
      </c>
      <c r="L130" s="91" t="s">
        <v>120</v>
      </c>
      <c r="M130" s="90" t="s">
        <v>126</v>
      </c>
      <c r="N130" s="3"/>
      <c r="O130" s="3"/>
      <c r="P130" s="3"/>
      <c r="Q130" s="3"/>
      <c r="R130" s="3"/>
      <c r="S130" s="3"/>
      <c r="T130" s="3"/>
      <c r="U130" s="3"/>
      <c r="V130" s="3"/>
      <c r="W130" s="3"/>
      <c r="X130" s="3"/>
      <c r="Y130" s="3"/>
      <c r="Z130" s="3"/>
      <c r="AA130" s="3"/>
      <c r="AB130" s="3"/>
      <c r="AC130" s="3"/>
      <c r="AD130" s="3"/>
      <c r="AE130" s="3"/>
      <c r="AF130" s="81" t="s">
        <v>284</v>
      </c>
      <c r="AG130" s="81" t="s">
        <v>287</v>
      </c>
      <c r="AH130" s="26"/>
      <c r="AI130" s="26"/>
      <c r="AJ130" s="26"/>
      <c r="AK130" s="26"/>
      <c r="AL130" s="26"/>
      <c r="AM130" s="26"/>
      <c r="AN130" s="26"/>
      <c r="AO130" s="26"/>
      <c r="AP130" s="26"/>
      <c r="AQ130" s="26"/>
      <c r="AR130" s="26"/>
      <c r="AS130" s="26"/>
      <c r="AT130" s="26"/>
      <c r="AU130" s="26"/>
      <c r="AV130" s="26"/>
    </row>
    <row r="131" spans="1:48" ht="19.5" customHeight="1">
      <c r="A131" s="84"/>
      <c r="B131" s="91"/>
      <c r="C131" s="10" t="s">
        <v>82</v>
      </c>
      <c r="D131" s="3">
        <v>622</v>
      </c>
      <c r="E131" s="84"/>
      <c r="F131" s="87"/>
      <c r="G131" s="84"/>
      <c r="H131" s="84"/>
      <c r="I131" s="84"/>
      <c r="J131" s="87"/>
      <c r="K131" s="91"/>
      <c r="L131" s="91"/>
      <c r="M131" s="90"/>
      <c r="N131" s="3"/>
      <c r="O131" s="3"/>
      <c r="P131" s="3"/>
      <c r="Q131" s="3"/>
      <c r="R131" s="3"/>
      <c r="S131" s="3"/>
      <c r="T131" s="3"/>
      <c r="U131" s="3"/>
      <c r="V131" s="3"/>
      <c r="W131" s="3"/>
      <c r="X131" s="3"/>
      <c r="Y131" s="3"/>
      <c r="Z131" s="3">
        <v>243.2</v>
      </c>
      <c r="AA131" s="3">
        <v>243.2</v>
      </c>
      <c r="AB131" s="3"/>
      <c r="AC131" s="3">
        <v>243.2</v>
      </c>
      <c r="AD131" s="3">
        <v>243.2</v>
      </c>
      <c r="AE131" s="3"/>
      <c r="AF131" s="82"/>
      <c r="AG131" s="82"/>
      <c r="AH131" s="26"/>
      <c r="AI131" s="26"/>
      <c r="AJ131" s="26"/>
      <c r="AK131" s="26"/>
      <c r="AL131" s="26"/>
      <c r="AM131" s="26"/>
      <c r="AN131" s="26"/>
      <c r="AO131" s="26"/>
      <c r="AP131" s="26"/>
      <c r="AQ131" s="26">
        <v>243.2</v>
      </c>
      <c r="AR131" s="26">
        <v>243.2</v>
      </c>
      <c r="AS131" s="26"/>
      <c r="AT131" s="26">
        <v>243.2</v>
      </c>
      <c r="AU131" s="26">
        <v>243.2</v>
      </c>
      <c r="AV131" s="26"/>
    </row>
    <row r="132" spans="1:48" ht="21" customHeight="1">
      <c r="A132" s="84"/>
      <c r="B132" s="91"/>
      <c r="C132" s="10" t="s">
        <v>76</v>
      </c>
      <c r="D132" s="3">
        <v>350</v>
      </c>
      <c r="E132" s="84"/>
      <c r="F132" s="87"/>
      <c r="G132" s="84"/>
      <c r="H132" s="84"/>
      <c r="I132" s="84"/>
      <c r="J132" s="87"/>
      <c r="K132" s="91"/>
      <c r="L132" s="91"/>
      <c r="M132" s="90"/>
      <c r="N132" s="3"/>
      <c r="O132" s="3"/>
      <c r="P132" s="3"/>
      <c r="Q132" s="3"/>
      <c r="R132" s="3"/>
      <c r="S132" s="3"/>
      <c r="T132" s="3"/>
      <c r="U132" s="3"/>
      <c r="V132" s="3"/>
      <c r="W132" s="3"/>
      <c r="X132" s="3"/>
      <c r="Y132" s="3"/>
      <c r="Z132" s="3"/>
      <c r="AA132" s="3"/>
      <c r="AB132" s="3"/>
      <c r="AC132" s="3"/>
      <c r="AD132" s="3"/>
      <c r="AE132" s="3"/>
      <c r="AF132" s="82"/>
      <c r="AG132" s="82"/>
      <c r="AH132" s="26"/>
      <c r="AI132" s="26"/>
      <c r="AJ132" s="26"/>
      <c r="AK132" s="26"/>
      <c r="AL132" s="26"/>
      <c r="AM132" s="26"/>
      <c r="AN132" s="26"/>
      <c r="AO132" s="26"/>
      <c r="AP132" s="26"/>
      <c r="AQ132" s="26"/>
      <c r="AR132" s="26"/>
      <c r="AS132" s="26"/>
      <c r="AT132" s="26"/>
      <c r="AU132" s="26"/>
      <c r="AV132" s="26"/>
    </row>
    <row r="133" spans="1:48" ht="21" customHeight="1">
      <c r="A133" s="84"/>
      <c r="B133" s="91"/>
      <c r="C133" s="10" t="s">
        <v>76</v>
      </c>
      <c r="D133" s="3">
        <v>244</v>
      </c>
      <c r="E133" s="84"/>
      <c r="F133" s="87"/>
      <c r="G133" s="84"/>
      <c r="H133" s="84"/>
      <c r="I133" s="84"/>
      <c r="J133" s="87"/>
      <c r="K133" s="91"/>
      <c r="L133" s="91"/>
      <c r="M133" s="90"/>
      <c r="N133" s="3"/>
      <c r="O133" s="3"/>
      <c r="P133" s="3"/>
      <c r="Q133" s="3"/>
      <c r="R133" s="3"/>
      <c r="S133" s="3"/>
      <c r="T133" s="3">
        <f>100</f>
        <v>100</v>
      </c>
      <c r="U133" s="3"/>
      <c r="V133" s="3"/>
      <c r="W133" s="3">
        <f>100</f>
        <v>100</v>
      </c>
      <c r="X133" s="3"/>
      <c r="Y133" s="3"/>
      <c r="Z133" s="3">
        <f>100</f>
        <v>100</v>
      </c>
      <c r="AA133" s="3"/>
      <c r="AB133" s="3"/>
      <c r="AC133" s="3">
        <f>100</f>
        <v>100</v>
      </c>
      <c r="AD133" s="3"/>
      <c r="AE133" s="3"/>
      <c r="AF133" s="83"/>
      <c r="AG133" s="82"/>
      <c r="AH133" s="26"/>
      <c r="AI133" s="26"/>
      <c r="AJ133" s="26"/>
      <c r="AK133" s="26">
        <f>100</f>
        <v>100</v>
      </c>
      <c r="AL133" s="26"/>
      <c r="AM133" s="26"/>
      <c r="AN133" s="26">
        <f>100</f>
        <v>100</v>
      </c>
      <c r="AO133" s="26"/>
      <c r="AP133" s="26"/>
      <c r="AQ133" s="26">
        <f>100</f>
        <v>100</v>
      </c>
      <c r="AR133" s="26"/>
      <c r="AS133" s="26"/>
      <c r="AT133" s="26">
        <f>100</f>
        <v>100</v>
      </c>
      <c r="AU133" s="26"/>
      <c r="AV133" s="26"/>
    </row>
    <row r="134" spans="1:48" ht="19.5" customHeight="1">
      <c r="A134" s="84"/>
      <c r="B134" s="91"/>
      <c r="C134" s="10" t="s">
        <v>76</v>
      </c>
      <c r="D134" s="3">
        <v>611</v>
      </c>
      <c r="E134" s="84"/>
      <c r="F134" s="87"/>
      <c r="G134" s="84"/>
      <c r="H134" s="84"/>
      <c r="I134" s="84"/>
      <c r="J134" s="87"/>
      <c r="K134" s="91"/>
      <c r="L134" s="91"/>
      <c r="M134" s="90"/>
      <c r="N134" s="3">
        <f>20+40422.3+1400</f>
        <v>41842.3</v>
      </c>
      <c r="O134" s="3">
        <f>77+577.6</f>
        <v>654.6</v>
      </c>
      <c r="P134" s="3">
        <v>29418.5</v>
      </c>
      <c r="Q134" s="3">
        <f>20+40401.4+1399.9</f>
        <v>41821.3</v>
      </c>
      <c r="R134" s="3">
        <f>77+577.6</f>
        <v>654.6</v>
      </c>
      <c r="S134" s="3">
        <v>29397.5</v>
      </c>
      <c r="T134" s="3">
        <f>39500+1500+20</f>
        <v>41020</v>
      </c>
      <c r="U134" s="3"/>
      <c r="V134" s="3">
        <f>29383.6</f>
        <v>29383.6</v>
      </c>
      <c r="W134" s="3">
        <f>42531+1700+50</f>
        <v>44281</v>
      </c>
      <c r="X134" s="3"/>
      <c r="Y134" s="3">
        <v>31893.9</v>
      </c>
      <c r="Z134" s="3">
        <f>44445.4+1700+50</f>
        <v>46195.4</v>
      </c>
      <c r="AA134" s="3"/>
      <c r="AB134" s="3">
        <v>31893.9</v>
      </c>
      <c r="AC134" s="3">
        <f>44445.4+1700+50</f>
        <v>46195.4</v>
      </c>
      <c r="AD134" s="3"/>
      <c r="AE134" s="3">
        <v>31893.9</v>
      </c>
      <c r="AF134" s="46" t="s">
        <v>285</v>
      </c>
      <c r="AG134" s="82"/>
      <c r="AH134" s="26">
        <f>20+40422.3+1400</f>
        <v>41842.3</v>
      </c>
      <c r="AI134" s="26">
        <f>77+577.6</f>
        <v>654.6</v>
      </c>
      <c r="AJ134" s="26">
        <v>29418.5</v>
      </c>
      <c r="AK134" s="26">
        <f>39500+1500+20</f>
        <v>41020</v>
      </c>
      <c r="AL134" s="26"/>
      <c r="AM134" s="26">
        <f>29383.6</f>
        <v>29383.6</v>
      </c>
      <c r="AN134" s="26">
        <f>42531+1700+50</f>
        <v>44281</v>
      </c>
      <c r="AO134" s="26"/>
      <c r="AP134" s="26">
        <v>31893.9</v>
      </c>
      <c r="AQ134" s="26">
        <f>44445.4+1700+50</f>
        <v>46195.4</v>
      </c>
      <c r="AR134" s="26"/>
      <c r="AS134" s="26">
        <v>31893.9</v>
      </c>
      <c r="AT134" s="26">
        <f>44445.4+1700+50</f>
        <v>46195.4</v>
      </c>
      <c r="AU134" s="26"/>
      <c r="AV134" s="26">
        <v>31893.9</v>
      </c>
    </row>
    <row r="135" spans="1:48" ht="21" customHeight="1">
      <c r="A135" s="84"/>
      <c r="B135" s="91"/>
      <c r="C135" s="10" t="s">
        <v>76</v>
      </c>
      <c r="D135" s="3">
        <v>612</v>
      </c>
      <c r="E135" s="84"/>
      <c r="F135" s="87"/>
      <c r="G135" s="84"/>
      <c r="H135" s="84"/>
      <c r="I135" s="84"/>
      <c r="J135" s="87"/>
      <c r="K135" s="91"/>
      <c r="L135" s="91"/>
      <c r="M135" s="90"/>
      <c r="N135" s="3">
        <f>826.4+1822.4+244.2+199.9</f>
        <v>3092.9</v>
      </c>
      <c r="O135" s="3"/>
      <c r="P135" s="3"/>
      <c r="Q135" s="3">
        <f>826.4+1822.4+243.7+199.9</f>
        <v>3092.4</v>
      </c>
      <c r="R135" s="3"/>
      <c r="S135" s="3"/>
      <c r="T135" s="3">
        <v>2600</v>
      </c>
      <c r="U135" s="3"/>
      <c r="V135" s="3"/>
      <c r="W135" s="3">
        <v>2500</v>
      </c>
      <c r="X135" s="3"/>
      <c r="Y135" s="3"/>
      <c r="Z135" s="3"/>
      <c r="AA135" s="3"/>
      <c r="AB135" s="3"/>
      <c r="AC135" s="3"/>
      <c r="AD135" s="3"/>
      <c r="AE135" s="3"/>
      <c r="AF135" s="46" t="s">
        <v>284</v>
      </c>
      <c r="AG135" s="82"/>
      <c r="AH135" s="26">
        <f>826.4+1822.4+244.2+199.9</f>
        <v>3092.9</v>
      </c>
      <c r="AI135" s="26"/>
      <c r="AJ135" s="26"/>
      <c r="AK135" s="26">
        <v>2600</v>
      </c>
      <c r="AL135" s="26"/>
      <c r="AM135" s="26"/>
      <c r="AN135" s="26">
        <v>2500</v>
      </c>
      <c r="AO135" s="26"/>
      <c r="AP135" s="26"/>
      <c r="AQ135" s="26"/>
      <c r="AR135" s="26"/>
      <c r="AS135" s="26"/>
      <c r="AT135" s="26"/>
      <c r="AU135" s="26"/>
      <c r="AV135" s="26"/>
    </row>
    <row r="136" spans="1:48" ht="21" customHeight="1">
      <c r="A136" s="84"/>
      <c r="B136" s="91"/>
      <c r="C136" s="10" t="s">
        <v>83</v>
      </c>
      <c r="D136" s="3">
        <v>611</v>
      </c>
      <c r="E136" s="84"/>
      <c r="F136" s="87"/>
      <c r="G136" s="84"/>
      <c r="H136" s="84"/>
      <c r="I136" s="84"/>
      <c r="J136" s="87"/>
      <c r="K136" s="91"/>
      <c r="L136" s="91"/>
      <c r="M136" s="90"/>
      <c r="N136" s="3"/>
      <c r="O136" s="3"/>
      <c r="P136" s="3"/>
      <c r="Q136" s="3"/>
      <c r="R136" s="3"/>
      <c r="S136" s="3"/>
      <c r="T136" s="3">
        <v>100</v>
      </c>
      <c r="U136" s="3">
        <v>100</v>
      </c>
      <c r="V136" s="3"/>
      <c r="W136" s="3">
        <v>100</v>
      </c>
      <c r="X136" s="3">
        <v>100</v>
      </c>
      <c r="Y136" s="3"/>
      <c r="Z136" s="3">
        <v>100</v>
      </c>
      <c r="AA136" s="3">
        <v>100</v>
      </c>
      <c r="AB136" s="3"/>
      <c r="AC136" s="3">
        <v>100</v>
      </c>
      <c r="AD136" s="3">
        <v>100</v>
      </c>
      <c r="AE136" s="3"/>
      <c r="AF136" s="46" t="s">
        <v>285</v>
      </c>
      <c r="AG136" s="82"/>
      <c r="AH136" s="26"/>
      <c r="AI136" s="26"/>
      <c r="AJ136" s="26"/>
      <c r="AK136" s="26">
        <v>100</v>
      </c>
      <c r="AL136" s="26">
        <v>100</v>
      </c>
      <c r="AM136" s="26"/>
      <c r="AN136" s="26">
        <v>100</v>
      </c>
      <c r="AO136" s="26">
        <v>100</v>
      </c>
      <c r="AP136" s="26"/>
      <c r="AQ136" s="26">
        <v>100</v>
      </c>
      <c r="AR136" s="26">
        <v>100</v>
      </c>
      <c r="AS136" s="26"/>
      <c r="AT136" s="26">
        <v>100</v>
      </c>
      <c r="AU136" s="26">
        <v>100</v>
      </c>
      <c r="AV136" s="26"/>
    </row>
    <row r="137" spans="1:48" ht="18" customHeight="1" thickBot="1">
      <c r="A137" s="84"/>
      <c r="B137" s="91"/>
      <c r="C137" s="10" t="s">
        <v>83</v>
      </c>
      <c r="D137" s="3">
        <v>612</v>
      </c>
      <c r="E137" s="84"/>
      <c r="F137" s="87"/>
      <c r="G137" s="84"/>
      <c r="H137" s="84"/>
      <c r="I137" s="84"/>
      <c r="J137" s="87"/>
      <c r="K137" s="91"/>
      <c r="L137" s="91"/>
      <c r="M137" s="90"/>
      <c r="N137" s="14">
        <v>199</v>
      </c>
      <c r="O137" s="3">
        <f>41.6+123.7</f>
        <v>165.3</v>
      </c>
      <c r="P137" s="3"/>
      <c r="Q137" s="14">
        <v>199</v>
      </c>
      <c r="R137" s="3">
        <f>41.6+123.7</f>
        <v>165.3</v>
      </c>
      <c r="S137" s="3"/>
      <c r="T137" s="3">
        <v>65</v>
      </c>
      <c r="U137" s="3"/>
      <c r="V137" s="3"/>
      <c r="W137" s="3"/>
      <c r="X137" s="3"/>
      <c r="Y137" s="3"/>
      <c r="Z137" s="3"/>
      <c r="AA137" s="3"/>
      <c r="AB137" s="3"/>
      <c r="AC137" s="3"/>
      <c r="AD137" s="3"/>
      <c r="AE137" s="3"/>
      <c r="AF137" s="45" t="s">
        <v>284</v>
      </c>
      <c r="AG137" s="83"/>
      <c r="AH137" s="14">
        <v>199</v>
      </c>
      <c r="AI137" s="26">
        <f>41.6+123.7</f>
        <v>165.3</v>
      </c>
      <c r="AJ137" s="26"/>
      <c r="AK137" s="26">
        <v>65</v>
      </c>
      <c r="AL137" s="26"/>
      <c r="AM137" s="26"/>
      <c r="AN137" s="26"/>
      <c r="AO137" s="26"/>
      <c r="AP137" s="26"/>
      <c r="AQ137" s="26"/>
      <c r="AR137" s="26"/>
      <c r="AS137" s="26"/>
      <c r="AT137" s="26"/>
      <c r="AU137" s="26"/>
      <c r="AV137" s="26"/>
    </row>
    <row r="138" spans="1:49" s="9" customFormat="1" ht="20.25" customHeight="1" thickBot="1">
      <c r="A138" s="12"/>
      <c r="B138" s="18"/>
      <c r="C138" s="10"/>
      <c r="D138" s="3"/>
      <c r="E138" s="54"/>
      <c r="F138" s="53"/>
      <c r="G138" s="54"/>
      <c r="H138" s="54"/>
      <c r="I138" s="54"/>
      <c r="J138" s="53"/>
      <c r="K138" s="54"/>
      <c r="L138" s="54"/>
      <c r="M138" s="53"/>
      <c r="N138" s="3">
        <f>SUM(N139:N143)</f>
        <v>1833.4</v>
      </c>
      <c r="O138" s="3">
        <f aca="true" t="shared" si="34" ref="O138:AB138">SUM(O139:O143)</f>
        <v>0</v>
      </c>
      <c r="P138" s="3">
        <f t="shared" si="34"/>
        <v>1436.6000000000001</v>
      </c>
      <c r="Q138" s="3">
        <f t="shared" si="34"/>
        <v>1816.3000000000002</v>
      </c>
      <c r="R138" s="3">
        <f t="shared" si="34"/>
        <v>0</v>
      </c>
      <c r="S138" s="3">
        <f t="shared" si="34"/>
        <v>1435.1000000000001</v>
      </c>
      <c r="T138" s="3">
        <f t="shared" si="34"/>
        <v>1700</v>
      </c>
      <c r="U138" s="3">
        <f t="shared" si="34"/>
        <v>66.4</v>
      </c>
      <c r="V138" s="3">
        <f t="shared" si="34"/>
        <v>1358.9</v>
      </c>
      <c r="W138" s="3">
        <f t="shared" si="34"/>
        <v>2849.2</v>
      </c>
      <c r="X138" s="3">
        <f t="shared" si="34"/>
        <v>498.79999999999995</v>
      </c>
      <c r="Y138" s="3">
        <f t="shared" si="34"/>
        <v>1409.1999999999998</v>
      </c>
      <c r="Z138" s="3">
        <f t="shared" si="34"/>
        <v>2849.2</v>
      </c>
      <c r="AA138" s="3">
        <f t="shared" si="34"/>
        <v>498.79999999999995</v>
      </c>
      <c r="AB138" s="3">
        <f t="shared" si="34"/>
        <v>1409.1999999999998</v>
      </c>
      <c r="AC138" s="3">
        <f>SUM(AC139:AC143)</f>
        <v>2849.2</v>
      </c>
      <c r="AD138" s="3">
        <f>SUM(AD139:AD143)</f>
        <v>498.79999999999995</v>
      </c>
      <c r="AE138" s="3">
        <f>SUM(AE139:AE143)</f>
        <v>1409.1999999999998</v>
      </c>
      <c r="AF138" s="12"/>
      <c r="AG138" s="58"/>
      <c r="AH138" s="26">
        <f>SUM(AH139:AH143)</f>
        <v>1833.4</v>
      </c>
      <c r="AI138" s="26">
        <f aca="true" t="shared" si="35" ref="AI138:AS138">SUM(AI139:AI143)</f>
        <v>0</v>
      </c>
      <c r="AJ138" s="26">
        <f t="shared" si="35"/>
        <v>1436.6000000000001</v>
      </c>
      <c r="AK138" s="26">
        <f t="shared" si="35"/>
        <v>1700</v>
      </c>
      <c r="AL138" s="26">
        <f t="shared" si="35"/>
        <v>66.4</v>
      </c>
      <c r="AM138" s="26">
        <f t="shared" si="35"/>
        <v>1358.9</v>
      </c>
      <c r="AN138" s="26">
        <f t="shared" si="35"/>
        <v>2849.2</v>
      </c>
      <c r="AO138" s="26">
        <f t="shared" si="35"/>
        <v>498.79999999999995</v>
      </c>
      <c r="AP138" s="26">
        <f t="shared" si="35"/>
        <v>1409.1999999999998</v>
      </c>
      <c r="AQ138" s="26">
        <f t="shared" si="35"/>
        <v>2849.2</v>
      </c>
      <c r="AR138" s="26">
        <f t="shared" si="35"/>
        <v>498.79999999999995</v>
      </c>
      <c r="AS138" s="26">
        <f t="shared" si="35"/>
        <v>1409.1999999999998</v>
      </c>
      <c r="AT138" s="26">
        <f>SUM(AT139:AT143)</f>
        <v>2849.2</v>
      </c>
      <c r="AU138" s="26">
        <f>SUM(AU139:AU143)</f>
        <v>498.79999999999995</v>
      </c>
      <c r="AV138" s="26">
        <f>SUM(AV139:AV143)</f>
        <v>1409.1999999999998</v>
      </c>
      <c r="AW138" s="21"/>
    </row>
    <row r="139" spans="1:48" ht="18" customHeight="1">
      <c r="A139" s="85" t="s">
        <v>118</v>
      </c>
      <c r="B139" s="91">
        <v>2126</v>
      </c>
      <c r="C139" s="10" t="s">
        <v>35</v>
      </c>
      <c r="D139" s="3">
        <v>111</v>
      </c>
      <c r="E139" s="91" t="s">
        <v>165</v>
      </c>
      <c r="F139" s="90" t="s">
        <v>200</v>
      </c>
      <c r="G139" s="91" t="s">
        <v>159</v>
      </c>
      <c r="H139" s="91" t="s">
        <v>201</v>
      </c>
      <c r="I139" s="91" t="s">
        <v>202</v>
      </c>
      <c r="J139" s="90" t="s">
        <v>203</v>
      </c>
      <c r="K139" s="91" t="s">
        <v>137</v>
      </c>
      <c r="L139" s="91" t="s">
        <v>120</v>
      </c>
      <c r="M139" s="90" t="s">
        <v>126</v>
      </c>
      <c r="N139" s="3">
        <f>1027.5+75.9</f>
        <v>1103.4</v>
      </c>
      <c r="O139" s="3"/>
      <c r="P139" s="3">
        <v>1103.4</v>
      </c>
      <c r="Q139" s="3">
        <f>1027.5+75.9</f>
        <v>1103.4</v>
      </c>
      <c r="R139" s="3"/>
      <c r="S139" s="3">
        <f>1027.5+75.9</f>
        <v>1103.4</v>
      </c>
      <c r="T139" s="3">
        <v>1054.3</v>
      </c>
      <c r="U139" s="3"/>
      <c r="V139" s="3">
        <v>1054.3</v>
      </c>
      <c r="W139" s="3">
        <v>1082.3</v>
      </c>
      <c r="X139" s="3"/>
      <c r="Y139" s="3">
        <v>1082.3</v>
      </c>
      <c r="Z139" s="3">
        <v>1082.3</v>
      </c>
      <c r="AA139" s="3"/>
      <c r="AB139" s="3">
        <v>1082.3</v>
      </c>
      <c r="AC139" s="3">
        <v>1082.3</v>
      </c>
      <c r="AD139" s="3"/>
      <c r="AE139" s="3">
        <v>1082.3</v>
      </c>
      <c r="AF139" s="81" t="s">
        <v>285</v>
      </c>
      <c r="AG139" s="81" t="s">
        <v>287</v>
      </c>
      <c r="AH139" s="26">
        <f>1027.5+75.9</f>
        <v>1103.4</v>
      </c>
      <c r="AI139" s="26"/>
      <c r="AJ139" s="26">
        <v>1103.4</v>
      </c>
      <c r="AK139" s="26">
        <v>1054.3</v>
      </c>
      <c r="AL139" s="26"/>
      <c r="AM139" s="26">
        <v>1054.3</v>
      </c>
      <c r="AN139" s="26">
        <v>1082.3</v>
      </c>
      <c r="AO139" s="26"/>
      <c r="AP139" s="26">
        <v>1082.3</v>
      </c>
      <c r="AQ139" s="26">
        <v>1082.3</v>
      </c>
      <c r="AR139" s="26"/>
      <c r="AS139" s="26">
        <v>1082.3</v>
      </c>
      <c r="AT139" s="26">
        <v>1082.3</v>
      </c>
      <c r="AU139" s="26"/>
      <c r="AV139" s="26">
        <v>1082.3</v>
      </c>
    </row>
    <row r="140" spans="1:48" ht="18.75" customHeight="1">
      <c r="A140" s="99"/>
      <c r="B140" s="91"/>
      <c r="C140" s="10" t="s">
        <v>35</v>
      </c>
      <c r="D140" s="3">
        <v>112</v>
      </c>
      <c r="E140" s="91"/>
      <c r="F140" s="90"/>
      <c r="G140" s="91"/>
      <c r="H140" s="91"/>
      <c r="I140" s="91"/>
      <c r="J140" s="90"/>
      <c r="K140" s="91"/>
      <c r="L140" s="91"/>
      <c r="M140" s="90"/>
      <c r="N140" s="3">
        <v>12.7</v>
      </c>
      <c r="O140" s="3"/>
      <c r="P140" s="3"/>
      <c r="Q140" s="3">
        <f>9.9</f>
        <v>9.9</v>
      </c>
      <c r="R140" s="3"/>
      <c r="S140" s="3"/>
      <c r="T140" s="3">
        <v>19.6</v>
      </c>
      <c r="U140" s="3"/>
      <c r="V140" s="3"/>
      <c r="W140" s="3">
        <v>19.6</v>
      </c>
      <c r="X140" s="3"/>
      <c r="Y140" s="3"/>
      <c r="Z140" s="3">
        <f>19.6</f>
        <v>19.6</v>
      </c>
      <c r="AA140" s="3"/>
      <c r="AB140" s="3"/>
      <c r="AC140" s="3">
        <f>19.6</f>
        <v>19.6</v>
      </c>
      <c r="AD140" s="3"/>
      <c r="AE140" s="3"/>
      <c r="AF140" s="82"/>
      <c r="AG140" s="82"/>
      <c r="AH140" s="26">
        <v>12.7</v>
      </c>
      <c r="AI140" s="26"/>
      <c r="AJ140" s="26"/>
      <c r="AK140" s="26">
        <v>19.6</v>
      </c>
      <c r="AL140" s="26"/>
      <c r="AM140" s="26"/>
      <c r="AN140" s="26">
        <v>19.6</v>
      </c>
      <c r="AO140" s="26"/>
      <c r="AP140" s="26"/>
      <c r="AQ140" s="26">
        <f>19.6</f>
        <v>19.6</v>
      </c>
      <c r="AR140" s="26"/>
      <c r="AS140" s="26"/>
      <c r="AT140" s="26">
        <f>19.6</f>
        <v>19.6</v>
      </c>
      <c r="AU140" s="26"/>
      <c r="AV140" s="26"/>
    </row>
    <row r="141" spans="1:48" ht="19.5" customHeight="1">
      <c r="A141" s="99"/>
      <c r="B141" s="91"/>
      <c r="C141" s="10" t="s">
        <v>35</v>
      </c>
      <c r="D141" s="3">
        <v>853</v>
      </c>
      <c r="E141" s="91"/>
      <c r="F141" s="90"/>
      <c r="G141" s="91"/>
      <c r="H141" s="91"/>
      <c r="I141" s="91"/>
      <c r="J141" s="90"/>
      <c r="K141" s="91"/>
      <c r="L141" s="91"/>
      <c r="M141" s="90"/>
      <c r="N141" s="3">
        <v>0.2</v>
      </c>
      <c r="O141" s="3"/>
      <c r="P141" s="3"/>
      <c r="Q141" s="3">
        <v>0</v>
      </c>
      <c r="R141" s="3"/>
      <c r="S141" s="3"/>
      <c r="T141" s="3">
        <v>0</v>
      </c>
      <c r="U141" s="3"/>
      <c r="V141" s="3"/>
      <c r="W141" s="3">
        <v>0.2</v>
      </c>
      <c r="X141" s="3"/>
      <c r="Y141" s="3"/>
      <c r="Z141" s="3">
        <v>0.2</v>
      </c>
      <c r="AA141" s="3"/>
      <c r="AB141" s="3"/>
      <c r="AC141" s="3">
        <v>0.2</v>
      </c>
      <c r="AD141" s="3"/>
      <c r="AE141" s="3"/>
      <c r="AF141" s="82"/>
      <c r="AG141" s="82"/>
      <c r="AH141" s="26">
        <v>0.2</v>
      </c>
      <c r="AI141" s="26"/>
      <c r="AJ141" s="26"/>
      <c r="AK141" s="26">
        <v>0</v>
      </c>
      <c r="AL141" s="26"/>
      <c r="AM141" s="26"/>
      <c r="AN141" s="26">
        <v>0.2</v>
      </c>
      <c r="AO141" s="26"/>
      <c r="AP141" s="26"/>
      <c r="AQ141" s="26">
        <v>0.2</v>
      </c>
      <c r="AR141" s="26"/>
      <c r="AS141" s="26"/>
      <c r="AT141" s="26">
        <v>0.2</v>
      </c>
      <c r="AU141" s="26"/>
      <c r="AV141" s="26"/>
    </row>
    <row r="142" spans="1:48" ht="18" customHeight="1">
      <c r="A142" s="99"/>
      <c r="B142" s="91"/>
      <c r="C142" s="10" t="s">
        <v>35</v>
      </c>
      <c r="D142" s="3">
        <v>119</v>
      </c>
      <c r="E142" s="91"/>
      <c r="F142" s="90"/>
      <c r="G142" s="91"/>
      <c r="H142" s="91"/>
      <c r="I142" s="91"/>
      <c r="J142" s="90"/>
      <c r="K142" s="91"/>
      <c r="L142" s="91"/>
      <c r="M142" s="90"/>
      <c r="N142" s="3">
        <f>310.3+22.9</f>
        <v>333.2</v>
      </c>
      <c r="O142" s="3"/>
      <c r="P142" s="3">
        <v>333.2</v>
      </c>
      <c r="Q142" s="3">
        <f>308.8+22.9</f>
        <v>331.7</v>
      </c>
      <c r="R142" s="3"/>
      <c r="S142" s="3">
        <v>331.7</v>
      </c>
      <c r="T142" s="3">
        <v>304.6</v>
      </c>
      <c r="U142" s="3"/>
      <c r="V142" s="3">
        <v>304.6</v>
      </c>
      <c r="W142" s="3">
        <v>326.9</v>
      </c>
      <c r="X142" s="3"/>
      <c r="Y142" s="3">
        <v>326.9</v>
      </c>
      <c r="Z142" s="3">
        <v>326.9</v>
      </c>
      <c r="AA142" s="3"/>
      <c r="AB142" s="3">
        <v>326.9</v>
      </c>
      <c r="AC142" s="3">
        <v>326.9</v>
      </c>
      <c r="AD142" s="3"/>
      <c r="AE142" s="3">
        <v>326.9</v>
      </c>
      <c r="AF142" s="82"/>
      <c r="AG142" s="82"/>
      <c r="AH142" s="26">
        <f>310.3+22.9</f>
        <v>333.2</v>
      </c>
      <c r="AI142" s="26"/>
      <c r="AJ142" s="26">
        <v>333.2</v>
      </c>
      <c r="AK142" s="26">
        <v>304.6</v>
      </c>
      <c r="AL142" s="26"/>
      <c r="AM142" s="26">
        <v>304.6</v>
      </c>
      <c r="AN142" s="26">
        <v>326.9</v>
      </c>
      <c r="AO142" s="26"/>
      <c r="AP142" s="26">
        <v>326.9</v>
      </c>
      <c r="AQ142" s="26">
        <v>326.9</v>
      </c>
      <c r="AR142" s="26"/>
      <c r="AS142" s="26">
        <v>326.9</v>
      </c>
      <c r="AT142" s="26">
        <v>326.9</v>
      </c>
      <c r="AU142" s="26"/>
      <c r="AV142" s="26">
        <v>326.9</v>
      </c>
    </row>
    <row r="143" spans="1:48" ht="18.75" customHeight="1">
      <c r="A143" s="86"/>
      <c r="B143" s="91"/>
      <c r="C143" s="10" t="s">
        <v>35</v>
      </c>
      <c r="D143" s="3">
        <v>244</v>
      </c>
      <c r="E143" s="91"/>
      <c r="F143" s="90"/>
      <c r="G143" s="91"/>
      <c r="H143" s="91"/>
      <c r="I143" s="91"/>
      <c r="J143" s="90"/>
      <c r="K143" s="91"/>
      <c r="L143" s="91"/>
      <c r="M143" s="90"/>
      <c r="N143" s="3">
        <v>383.9</v>
      </c>
      <c r="O143" s="3"/>
      <c r="P143" s="3"/>
      <c r="Q143" s="3">
        <v>371.3</v>
      </c>
      <c r="R143" s="3"/>
      <c r="S143" s="3"/>
      <c r="T143" s="3">
        <v>321.5</v>
      </c>
      <c r="U143" s="3">
        <f>66.4</f>
        <v>66.4</v>
      </c>
      <c r="V143" s="3"/>
      <c r="W143" s="3">
        <v>1420.2</v>
      </c>
      <c r="X143" s="3">
        <f>66.4+432.4</f>
        <v>498.79999999999995</v>
      </c>
      <c r="Y143" s="3"/>
      <c r="Z143" s="3">
        <v>1420.2</v>
      </c>
      <c r="AA143" s="3">
        <f>66.4+432.4</f>
        <v>498.79999999999995</v>
      </c>
      <c r="AB143" s="3"/>
      <c r="AC143" s="3">
        <v>1420.2</v>
      </c>
      <c r="AD143" s="3">
        <f>66.4+432.4</f>
        <v>498.79999999999995</v>
      </c>
      <c r="AE143" s="3"/>
      <c r="AF143" s="83"/>
      <c r="AG143" s="83"/>
      <c r="AH143" s="26">
        <v>383.9</v>
      </c>
      <c r="AI143" s="26"/>
      <c r="AJ143" s="26"/>
      <c r="AK143" s="26">
        <v>321.5</v>
      </c>
      <c r="AL143" s="26">
        <f>66.4</f>
        <v>66.4</v>
      </c>
      <c r="AM143" s="26"/>
      <c r="AN143" s="26">
        <v>1420.2</v>
      </c>
      <c r="AO143" s="26">
        <f>66.4+432.4</f>
        <v>498.79999999999995</v>
      </c>
      <c r="AP143" s="26"/>
      <c r="AQ143" s="26">
        <v>1420.2</v>
      </c>
      <c r="AR143" s="26">
        <f>66.4+432.4</f>
        <v>498.79999999999995</v>
      </c>
      <c r="AS143" s="26"/>
      <c r="AT143" s="26">
        <v>1420.2</v>
      </c>
      <c r="AU143" s="26">
        <f>66.4+432.4</f>
        <v>498.79999999999995</v>
      </c>
      <c r="AV143" s="26"/>
    </row>
    <row r="144" spans="1:48" s="2" customFormat="1" ht="16.5" customHeight="1">
      <c r="A144" s="18"/>
      <c r="B144" s="4"/>
      <c r="C144" s="10"/>
      <c r="D144" s="3"/>
      <c r="E144" s="54"/>
      <c r="F144" s="53"/>
      <c r="G144" s="54"/>
      <c r="H144" s="54"/>
      <c r="I144" s="54"/>
      <c r="J144" s="53"/>
      <c r="K144" s="54"/>
      <c r="L144" s="54"/>
      <c r="M144" s="53"/>
      <c r="N144" s="3">
        <f>SUM(N145+N146+N147)</f>
        <v>3947.1</v>
      </c>
      <c r="O144" s="3">
        <f aca="true" t="shared" si="36" ref="O144:AB144">SUM(O145+O146+O147)</f>
        <v>328.4</v>
      </c>
      <c r="P144" s="3">
        <f t="shared" si="36"/>
        <v>0</v>
      </c>
      <c r="Q144" s="3">
        <f t="shared" si="36"/>
        <v>3892.7999999999997</v>
      </c>
      <c r="R144" s="3">
        <f t="shared" si="36"/>
        <v>274.1</v>
      </c>
      <c r="S144" s="3">
        <f t="shared" si="36"/>
        <v>0</v>
      </c>
      <c r="T144" s="3">
        <f t="shared" si="36"/>
        <v>4270</v>
      </c>
      <c r="U144" s="3">
        <f t="shared" si="36"/>
        <v>700</v>
      </c>
      <c r="V144" s="3">
        <f t="shared" si="36"/>
        <v>0</v>
      </c>
      <c r="W144" s="3">
        <f t="shared" si="36"/>
        <v>3613.2000000000003</v>
      </c>
      <c r="X144" s="3">
        <f t="shared" si="36"/>
        <v>0</v>
      </c>
      <c r="Y144" s="3">
        <f t="shared" si="36"/>
        <v>0</v>
      </c>
      <c r="Z144" s="3">
        <f t="shared" si="36"/>
        <v>3613.2000000000003</v>
      </c>
      <c r="AA144" s="3">
        <f t="shared" si="36"/>
        <v>0</v>
      </c>
      <c r="AB144" s="3">
        <f t="shared" si="36"/>
        <v>0</v>
      </c>
      <c r="AC144" s="3">
        <f>SUM(AC145+AC146+AC147)</f>
        <v>3613.2000000000003</v>
      </c>
      <c r="AD144" s="3">
        <f>SUM(AD145+AD146+AD147)</f>
        <v>0</v>
      </c>
      <c r="AE144" s="3">
        <f>SUM(AE145+AE146+AE147)</f>
        <v>0</v>
      </c>
      <c r="AF144" s="12"/>
      <c r="AG144" s="58"/>
      <c r="AH144" s="26">
        <f>SUM(AH145+AH146+AH147)</f>
        <v>3947.1</v>
      </c>
      <c r="AI144" s="26">
        <f aca="true" t="shared" si="37" ref="AI144:AS144">SUM(AI145+AI146+AI147)</f>
        <v>328.4</v>
      </c>
      <c r="AJ144" s="26">
        <f t="shared" si="37"/>
        <v>0</v>
      </c>
      <c r="AK144" s="26">
        <f t="shared" si="37"/>
        <v>4270</v>
      </c>
      <c r="AL144" s="26">
        <f t="shared" si="37"/>
        <v>700</v>
      </c>
      <c r="AM144" s="26">
        <f t="shared" si="37"/>
        <v>0</v>
      </c>
      <c r="AN144" s="26">
        <f t="shared" si="37"/>
        <v>3613.2000000000003</v>
      </c>
      <c r="AO144" s="26">
        <f t="shared" si="37"/>
        <v>0</v>
      </c>
      <c r="AP144" s="26">
        <f t="shared" si="37"/>
        <v>0</v>
      </c>
      <c r="AQ144" s="26">
        <f t="shared" si="37"/>
        <v>3613.2000000000003</v>
      </c>
      <c r="AR144" s="26">
        <f t="shared" si="37"/>
        <v>0</v>
      </c>
      <c r="AS144" s="26">
        <f t="shared" si="37"/>
        <v>0</v>
      </c>
      <c r="AT144" s="26">
        <f>SUM(AT145+AT146+AT147)</f>
        <v>3613.2000000000003</v>
      </c>
      <c r="AU144" s="26">
        <f>SUM(AU145+AU146+AU147)</f>
        <v>0</v>
      </c>
      <c r="AV144" s="26">
        <f>SUM(AV145+AV146+AV147)</f>
        <v>0</v>
      </c>
    </row>
    <row r="145" spans="1:48" ht="24" customHeight="1">
      <c r="A145" s="84" t="s">
        <v>63</v>
      </c>
      <c r="B145" s="91">
        <v>2127</v>
      </c>
      <c r="C145" s="10" t="s">
        <v>62</v>
      </c>
      <c r="D145" s="3">
        <v>244</v>
      </c>
      <c r="E145" s="84" t="s">
        <v>165</v>
      </c>
      <c r="F145" s="87" t="s">
        <v>204</v>
      </c>
      <c r="G145" s="84" t="s">
        <v>159</v>
      </c>
      <c r="H145" s="105"/>
      <c r="I145" s="84"/>
      <c r="J145" s="87"/>
      <c r="K145" s="84" t="s">
        <v>128</v>
      </c>
      <c r="L145" s="105" t="s">
        <v>120</v>
      </c>
      <c r="M145" s="87" t="s">
        <v>126</v>
      </c>
      <c r="N145" s="3">
        <v>2961.7</v>
      </c>
      <c r="O145" s="3"/>
      <c r="P145" s="3"/>
      <c r="Q145" s="3">
        <v>2961.7</v>
      </c>
      <c r="R145" s="3"/>
      <c r="S145" s="3"/>
      <c r="T145" s="3">
        <v>2970</v>
      </c>
      <c r="U145" s="3"/>
      <c r="V145" s="3"/>
      <c r="W145" s="3">
        <v>2860.8</v>
      </c>
      <c r="X145" s="3"/>
      <c r="Y145" s="3"/>
      <c r="Z145" s="3">
        <f>2860.8</f>
        <v>2860.8</v>
      </c>
      <c r="AA145" s="3"/>
      <c r="AB145" s="3"/>
      <c r="AC145" s="3">
        <f>2860.8</f>
        <v>2860.8</v>
      </c>
      <c r="AD145" s="3"/>
      <c r="AE145" s="3"/>
      <c r="AF145" s="81" t="s">
        <v>284</v>
      </c>
      <c r="AG145" s="81" t="s">
        <v>287</v>
      </c>
      <c r="AH145" s="26">
        <v>2961.7</v>
      </c>
      <c r="AI145" s="26"/>
      <c r="AJ145" s="26"/>
      <c r="AK145" s="26">
        <v>2970</v>
      </c>
      <c r="AL145" s="26"/>
      <c r="AM145" s="26"/>
      <c r="AN145" s="26">
        <v>2860.8</v>
      </c>
      <c r="AO145" s="26"/>
      <c r="AP145" s="26"/>
      <c r="AQ145" s="26">
        <f>2860.8</f>
        <v>2860.8</v>
      </c>
      <c r="AR145" s="26"/>
      <c r="AS145" s="26"/>
      <c r="AT145" s="26">
        <f>2860.8</f>
        <v>2860.8</v>
      </c>
      <c r="AU145" s="26"/>
      <c r="AV145" s="26"/>
    </row>
    <row r="146" spans="1:48" ht="21" customHeight="1">
      <c r="A146" s="84"/>
      <c r="B146" s="91"/>
      <c r="C146" s="10" t="s">
        <v>65</v>
      </c>
      <c r="D146" s="3">
        <v>244</v>
      </c>
      <c r="E146" s="84"/>
      <c r="F146" s="87"/>
      <c r="G146" s="84"/>
      <c r="H146" s="105"/>
      <c r="I146" s="84"/>
      <c r="J146" s="87"/>
      <c r="K146" s="84"/>
      <c r="L146" s="105"/>
      <c r="M146" s="87"/>
      <c r="N146" s="3">
        <v>657</v>
      </c>
      <c r="O146" s="3"/>
      <c r="P146" s="3"/>
      <c r="Q146" s="3">
        <v>657</v>
      </c>
      <c r="R146" s="3"/>
      <c r="S146" s="3"/>
      <c r="T146" s="3">
        <v>600</v>
      </c>
      <c r="U146" s="3"/>
      <c r="V146" s="3"/>
      <c r="W146" s="3">
        <v>752.4</v>
      </c>
      <c r="X146" s="3"/>
      <c r="Y146" s="3"/>
      <c r="Z146" s="3">
        <f>752.4</f>
        <v>752.4</v>
      </c>
      <c r="AA146" s="3"/>
      <c r="AB146" s="3"/>
      <c r="AC146" s="3">
        <f>752.4</f>
        <v>752.4</v>
      </c>
      <c r="AD146" s="3"/>
      <c r="AE146" s="3"/>
      <c r="AF146" s="82"/>
      <c r="AG146" s="82"/>
      <c r="AH146" s="26">
        <v>657</v>
      </c>
      <c r="AI146" s="26"/>
      <c r="AJ146" s="26"/>
      <c r="AK146" s="26">
        <v>600</v>
      </c>
      <c r="AL146" s="26"/>
      <c r="AM146" s="26"/>
      <c r="AN146" s="26">
        <v>752.4</v>
      </c>
      <c r="AO146" s="26"/>
      <c r="AP146" s="26"/>
      <c r="AQ146" s="26">
        <f>752.4</f>
        <v>752.4</v>
      </c>
      <c r="AR146" s="26"/>
      <c r="AS146" s="26"/>
      <c r="AT146" s="26">
        <f>752.4</f>
        <v>752.4</v>
      </c>
      <c r="AU146" s="26"/>
      <c r="AV146" s="26"/>
    </row>
    <row r="147" spans="1:48" ht="18" customHeight="1">
      <c r="A147" s="84"/>
      <c r="B147" s="91"/>
      <c r="C147" s="10" t="s">
        <v>65</v>
      </c>
      <c r="D147" s="3">
        <v>414</v>
      </c>
      <c r="E147" s="84"/>
      <c r="F147" s="87"/>
      <c r="G147" s="84"/>
      <c r="H147" s="105"/>
      <c r="I147" s="84"/>
      <c r="J147" s="87"/>
      <c r="K147" s="84"/>
      <c r="L147" s="105"/>
      <c r="M147" s="87"/>
      <c r="N147" s="3">
        <v>328.4</v>
      </c>
      <c r="O147" s="3">
        <v>328.4</v>
      </c>
      <c r="P147" s="3"/>
      <c r="Q147" s="3">
        <v>274.1</v>
      </c>
      <c r="R147" s="3">
        <v>274.1</v>
      </c>
      <c r="S147" s="3"/>
      <c r="T147" s="3">
        <v>700</v>
      </c>
      <c r="U147" s="3">
        <v>700</v>
      </c>
      <c r="V147" s="3"/>
      <c r="W147" s="3"/>
      <c r="X147" s="3"/>
      <c r="Y147" s="3"/>
      <c r="Z147" s="3"/>
      <c r="AA147" s="3"/>
      <c r="AB147" s="3"/>
      <c r="AC147" s="3"/>
      <c r="AD147" s="3"/>
      <c r="AE147" s="3"/>
      <c r="AF147" s="83"/>
      <c r="AG147" s="83"/>
      <c r="AH147" s="26">
        <v>328.4</v>
      </c>
      <c r="AI147" s="26">
        <v>328.4</v>
      </c>
      <c r="AJ147" s="26"/>
      <c r="AK147" s="26">
        <v>700</v>
      </c>
      <c r="AL147" s="26">
        <v>700</v>
      </c>
      <c r="AM147" s="26"/>
      <c r="AN147" s="26"/>
      <c r="AO147" s="26"/>
      <c r="AP147" s="26"/>
      <c r="AQ147" s="26"/>
      <c r="AR147" s="26"/>
      <c r="AS147" s="26"/>
      <c r="AT147" s="26"/>
      <c r="AU147" s="26"/>
      <c r="AV147" s="26"/>
    </row>
    <row r="148" spans="1:48" s="2" customFormat="1" ht="16.5" customHeight="1">
      <c r="A148" s="18"/>
      <c r="B148" s="4"/>
      <c r="C148" s="10"/>
      <c r="D148" s="3"/>
      <c r="E148" s="54"/>
      <c r="F148" s="53"/>
      <c r="G148" s="54"/>
      <c r="H148" s="56"/>
      <c r="I148" s="54"/>
      <c r="J148" s="53"/>
      <c r="K148" s="54"/>
      <c r="L148" s="56"/>
      <c r="M148" s="53"/>
      <c r="N148" s="14">
        <f>SUM(N149+N150+N151)</f>
        <v>54303.00000000001</v>
      </c>
      <c r="O148" s="3">
        <f aca="true" t="shared" si="38" ref="O148:AB148">SUM(O149+O150+O151)</f>
        <v>3095</v>
      </c>
      <c r="P148" s="3">
        <f t="shared" si="38"/>
        <v>0</v>
      </c>
      <c r="Q148" s="3">
        <f t="shared" si="38"/>
        <v>53400.9</v>
      </c>
      <c r="R148" s="3">
        <f t="shared" si="38"/>
        <v>3095</v>
      </c>
      <c r="S148" s="3">
        <f t="shared" si="38"/>
        <v>0</v>
      </c>
      <c r="T148" s="3">
        <f t="shared" si="38"/>
        <v>36799.9</v>
      </c>
      <c r="U148" s="3">
        <f t="shared" si="38"/>
        <v>1000</v>
      </c>
      <c r="V148" s="3">
        <f t="shared" si="38"/>
        <v>0</v>
      </c>
      <c r="W148" s="3">
        <f t="shared" si="38"/>
        <v>36935.799999999996</v>
      </c>
      <c r="X148" s="3">
        <f t="shared" si="38"/>
        <v>500</v>
      </c>
      <c r="Y148" s="3">
        <f t="shared" si="38"/>
        <v>0</v>
      </c>
      <c r="Z148" s="3">
        <f t="shared" si="38"/>
        <v>36935.9</v>
      </c>
      <c r="AA148" s="3">
        <f t="shared" si="38"/>
        <v>500</v>
      </c>
      <c r="AB148" s="3">
        <f t="shared" si="38"/>
        <v>0</v>
      </c>
      <c r="AC148" s="3">
        <f>SUM(AC149+AC150+AC151)</f>
        <v>36935.9</v>
      </c>
      <c r="AD148" s="3">
        <f>SUM(AD149+AD150+AD151)</f>
        <v>500</v>
      </c>
      <c r="AE148" s="3">
        <f>SUM(AE149+AE150+AE151)</f>
        <v>0</v>
      </c>
      <c r="AF148" s="12"/>
      <c r="AG148" s="58"/>
      <c r="AH148" s="14">
        <f>SUM(AH149+AH150+AH151)</f>
        <v>54303.00000000001</v>
      </c>
      <c r="AI148" s="26">
        <f aca="true" t="shared" si="39" ref="AI148:AS148">SUM(AI149+AI150+AI151)</f>
        <v>3095</v>
      </c>
      <c r="AJ148" s="26">
        <f t="shared" si="39"/>
        <v>0</v>
      </c>
      <c r="AK148" s="26">
        <f t="shared" si="39"/>
        <v>36799.9</v>
      </c>
      <c r="AL148" s="26">
        <f t="shared" si="39"/>
        <v>1000</v>
      </c>
      <c r="AM148" s="26">
        <f t="shared" si="39"/>
        <v>0</v>
      </c>
      <c r="AN148" s="26">
        <f t="shared" si="39"/>
        <v>36935.799999999996</v>
      </c>
      <c r="AO148" s="26">
        <f t="shared" si="39"/>
        <v>500</v>
      </c>
      <c r="AP148" s="26">
        <f t="shared" si="39"/>
        <v>0</v>
      </c>
      <c r="AQ148" s="26">
        <f t="shared" si="39"/>
        <v>36935.9</v>
      </c>
      <c r="AR148" s="26">
        <f t="shared" si="39"/>
        <v>500</v>
      </c>
      <c r="AS148" s="26">
        <f t="shared" si="39"/>
        <v>0</v>
      </c>
      <c r="AT148" s="26">
        <f>SUM(AT149+AT150+AT151)</f>
        <v>36935.9</v>
      </c>
      <c r="AU148" s="26">
        <f>SUM(AU149+AU150+AU151)</f>
        <v>500</v>
      </c>
      <c r="AV148" s="26">
        <f>SUM(AV149+AV150+AV151)</f>
        <v>0</v>
      </c>
    </row>
    <row r="149" spans="1:48" ht="28.5" customHeight="1">
      <c r="A149" s="84" t="s">
        <v>36</v>
      </c>
      <c r="B149" s="91">
        <v>2129</v>
      </c>
      <c r="C149" s="10" t="s">
        <v>35</v>
      </c>
      <c r="D149" s="3">
        <v>831</v>
      </c>
      <c r="E149" s="84" t="s">
        <v>165</v>
      </c>
      <c r="F149" s="87" t="s">
        <v>205</v>
      </c>
      <c r="G149" s="84" t="s">
        <v>159</v>
      </c>
      <c r="H149" s="105"/>
      <c r="I149" s="91"/>
      <c r="J149" s="90"/>
      <c r="K149" s="84" t="s">
        <v>128</v>
      </c>
      <c r="L149" s="104" t="s">
        <v>120</v>
      </c>
      <c r="M149" s="90" t="s">
        <v>126</v>
      </c>
      <c r="N149" s="3">
        <v>50</v>
      </c>
      <c r="O149" s="3"/>
      <c r="P149" s="3"/>
      <c r="Q149" s="3">
        <v>0</v>
      </c>
      <c r="R149" s="3"/>
      <c r="S149" s="3"/>
      <c r="T149" s="3"/>
      <c r="U149" s="3"/>
      <c r="V149" s="3"/>
      <c r="W149" s="3"/>
      <c r="X149" s="3"/>
      <c r="Y149" s="3"/>
      <c r="Z149" s="3"/>
      <c r="AA149" s="3"/>
      <c r="AB149" s="3"/>
      <c r="AC149" s="3"/>
      <c r="AD149" s="3"/>
      <c r="AE149" s="3"/>
      <c r="AF149" s="81" t="s">
        <v>284</v>
      </c>
      <c r="AG149" s="81" t="s">
        <v>287</v>
      </c>
      <c r="AH149" s="26">
        <v>50</v>
      </c>
      <c r="AI149" s="26"/>
      <c r="AJ149" s="26"/>
      <c r="AK149" s="26"/>
      <c r="AL149" s="26"/>
      <c r="AM149" s="26"/>
      <c r="AN149" s="26"/>
      <c r="AO149" s="26"/>
      <c r="AP149" s="26"/>
      <c r="AQ149" s="26"/>
      <c r="AR149" s="26"/>
      <c r="AS149" s="26"/>
      <c r="AT149" s="26"/>
      <c r="AU149" s="26"/>
      <c r="AV149" s="26"/>
    </row>
    <row r="150" spans="1:48" ht="65.25" customHeight="1">
      <c r="A150" s="84"/>
      <c r="B150" s="91"/>
      <c r="C150" s="10" t="s">
        <v>62</v>
      </c>
      <c r="D150" s="3">
        <v>853</v>
      </c>
      <c r="E150" s="84"/>
      <c r="F150" s="87"/>
      <c r="G150" s="84"/>
      <c r="H150" s="105"/>
      <c r="I150" s="91"/>
      <c r="J150" s="90"/>
      <c r="K150" s="84"/>
      <c r="L150" s="104"/>
      <c r="M150" s="90"/>
      <c r="N150" s="3">
        <v>67.1</v>
      </c>
      <c r="O150" s="3"/>
      <c r="P150" s="3"/>
      <c r="Q150" s="3">
        <v>67.1</v>
      </c>
      <c r="R150" s="3"/>
      <c r="S150" s="3"/>
      <c r="T150" s="3"/>
      <c r="U150" s="3"/>
      <c r="V150" s="3"/>
      <c r="W150" s="3"/>
      <c r="X150" s="3"/>
      <c r="Y150" s="3"/>
      <c r="Z150" s="3"/>
      <c r="AA150" s="3"/>
      <c r="AB150" s="3"/>
      <c r="AC150" s="3"/>
      <c r="AD150" s="3"/>
      <c r="AE150" s="3"/>
      <c r="AF150" s="82"/>
      <c r="AG150" s="82"/>
      <c r="AH150" s="26">
        <v>67.1</v>
      </c>
      <c r="AI150" s="26"/>
      <c r="AJ150" s="26"/>
      <c r="AK150" s="26"/>
      <c r="AL150" s="26"/>
      <c r="AM150" s="26"/>
      <c r="AN150" s="26"/>
      <c r="AO150" s="26"/>
      <c r="AP150" s="26"/>
      <c r="AQ150" s="26"/>
      <c r="AR150" s="26"/>
      <c r="AS150" s="26"/>
      <c r="AT150" s="26"/>
      <c r="AU150" s="26"/>
      <c r="AV150" s="26"/>
    </row>
    <row r="151" spans="1:48" ht="165.75" customHeight="1">
      <c r="A151" s="84"/>
      <c r="B151" s="91"/>
      <c r="C151" s="10" t="s">
        <v>62</v>
      </c>
      <c r="D151" s="3">
        <v>244</v>
      </c>
      <c r="E151" s="84"/>
      <c r="F151" s="87"/>
      <c r="G151" s="84"/>
      <c r="H151" s="105"/>
      <c r="I151" s="91"/>
      <c r="J151" s="90"/>
      <c r="K151" s="84"/>
      <c r="L151" s="104"/>
      <c r="M151" s="90"/>
      <c r="N151" s="3">
        <f>4075+8014.4+22789.4+15955+3352.3-0.2</f>
        <v>54185.90000000001</v>
      </c>
      <c r="O151" s="3">
        <v>3095</v>
      </c>
      <c r="P151" s="3"/>
      <c r="Q151" s="14">
        <f>3909+7690+22526.5+15856+3352.4-0.1</f>
        <v>53333.8</v>
      </c>
      <c r="R151" s="3">
        <v>3095</v>
      </c>
      <c r="S151" s="3"/>
      <c r="T151" s="3">
        <f>27470+12300-2970-0.1</f>
        <v>36799.9</v>
      </c>
      <c r="U151" s="3">
        <f>1000</f>
        <v>1000</v>
      </c>
      <c r="V151" s="3"/>
      <c r="W151" s="3">
        <f>24796.9+15000-2860.8-0.3</f>
        <v>36935.799999999996</v>
      </c>
      <c r="X151" s="3">
        <f>500</f>
        <v>500</v>
      </c>
      <c r="Y151" s="3"/>
      <c r="Z151" s="3">
        <f>24796.9+15000-2860.8-0.2</f>
        <v>36935.9</v>
      </c>
      <c r="AA151" s="3">
        <f>500</f>
        <v>500</v>
      </c>
      <c r="AB151" s="3"/>
      <c r="AC151" s="3">
        <f>24796.9+15000-2860.8-0.2</f>
        <v>36935.9</v>
      </c>
      <c r="AD151" s="3">
        <f>500</f>
        <v>500</v>
      </c>
      <c r="AE151" s="3"/>
      <c r="AF151" s="83"/>
      <c r="AG151" s="83"/>
      <c r="AH151" s="26">
        <f>4075+8014.4+22789.4+15955+3352.3-0.2</f>
        <v>54185.90000000001</v>
      </c>
      <c r="AI151" s="26">
        <v>3095</v>
      </c>
      <c r="AJ151" s="26"/>
      <c r="AK151" s="26">
        <f>27470+12300-2970-0.1</f>
        <v>36799.9</v>
      </c>
      <c r="AL151" s="26">
        <f>1000</f>
        <v>1000</v>
      </c>
      <c r="AM151" s="26"/>
      <c r="AN151" s="26">
        <f>24796.9+15000-2860.8-0.3</f>
        <v>36935.799999999996</v>
      </c>
      <c r="AO151" s="26">
        <f>500</f>
        <v>500</v>
      </c>
      <c r="AP151" s="26"/>
      <c r="AQ151" s="26">
        <f>24796.9+15000-2860.8-0.2</f>
        <v>36935.9</v>
      </c>
      <c r="AR151" s="26">
        <f>500</f>
        <v>500</v>
      </c>
      <c r="AS151" s="26"/>
      <c r="AT151" s="26">
        <f>24796.9+15000-2860.8-0.2</f>
        <v>36935.9</v>
      </c>
      <c r="AU151" s="26">
        <f>500</f>
        <v>500</v>
      </c>
      <c r="AV151" s="26"/>
    </row>
    <row r="152" spans="1:48" s="2" customFormat="1" ht="18.75" customHeight="1">
      <c r="A152" s="18"/>
      <c r="B152" s="4"/>
      <c r="C152" s="10"/>
      <c r="D152" s="3"/>
      <c r="E152" s="54"/>
      <c r="F152" s="53"/>
      <c r="G152" s="54"/>
      <c r="H152" s="56"/>
      <c r="I152" s="51"/>
      <c r="J152" s="33"/>
      <c r="K152" s="54"/>
      <c r="L152" s="34"/>
      <c r="M152" s="53"/>
      <c r="N152" s="3">
        <f>SUM(N153)</f>
        <v>312.6</v>
      </c>
      <c r="O152" s="3">
        <f aca="true" t="shared" si="40" ref="O152:AE152">SUM(O153)</f>
        <v>0</v>
      </c>
      <c r="P152" s="3">
        <f t="shared" si="40"/>
        <v>0</v>
      </c>
      <c r="Q152" s="3">
        <f t="shared" si="40"/>
        <v>292.5</v>
      </c>
      <c r="R152" s="3">
        <f>SUM(R153)</f>
        <v>0</v>
      </c>
      <c r="S152" s="3">
        <f t="shared" si="40"/>
        <v>0</v>
      </c>
      <c r="T152" s="3">
        <f t="shared" si="40"/>
        <v>700</v>
      </c>
      <c r="U152" s="3">
        <f t="shared" si="40"/>
        <v>0</v>
      </c>
      <c r="V152" s="3">
        <f t="shared" si="40"/>
        <v>0</v>
      </c>
      <c r="W152" s="3">
        <f t="shared" si="40"/>
        <v>1080</v>
      </c>
      <c r="X152" s="3">
        <f t="shared" si="40"/>
        <v>0</v>
      </c>
      <c r="Y152" s="3">
        <f t="shared" si="40"/>
        <v>0</v>
      </c>
      <c r="Z152" s="3">
        <f t="shared" si="40"/>
        <v>1212</v>
      </c>
      <c r="AA152" s="3">
        <f t="shared" si="40"/>
        <v>0</v>
      </c>
      <c r="AB152" s="3">
        <f t="shared" si="40"/>
        <v>0</v>
      </c>
      <c r="AC152" s="3">
        <f t="shared" si="40"/>
        <v>1212</v>
      </c>
      <c r="AD152" s="3">
        <f t="shared" si="40"/>
        <v>0</v>
      </c>
      <c r="AE152" s="3">
        <f t="shared" si="40"/>
        <v>0</v>
      </c>
      <c r="AF152" s="12"/>
      <c r="AG152" s="58"/>
      <c r="AH152" s="26">
        <f>SUM(AH153)</f>
        <v>312.6</v>
      </c>
      <c r="AI152" s="26">
        <f aca="true" t="shared" si="41" ref="AI152:AV152">SUM(AI153)</f>
        <v>0</v>
      </c>
      <c r="AJ152" s="26">
        <f t="shared" si="41"/>
        <v>0</v>
      </c>
      <c r="AK152" s="26">
        <f t="shared" si="41"/>
        <v>700</v>
      </c>
      <c r="AL152" s="26">
        <f t="shared" si="41"/>
        <v>0</v>
      </c>
      <c r="AM152" s="26">
        <f t="shared" si="41"/>
        <v>0</v>
      </c>
      <c r="AN152" s="26">
        <f t="shared" si="41"/>
        <v>1080</v>
      </c>
      <c r="AO152" s="26">
        <f t="shared" si="41"/>
        <v>0</v>
      </c>
      <c r="AP152" s="26">
        <f t="shared" si="41"/>
        <v>0</v>
      </c>
      <c r="AQ152" s="26">
        <f t="shared" si="41"/>
        <v>1212</v>
      </c>
      <c r="AR152" s="26">
        <f t="shared" si="41"/>
        <v>0</v>
      </c>
      <c r="AS152" s="26">
        <f t="shared" si="41"/>
        <v>0</v>
      </c>
      <c r="AT152" s="26">
        <f t="shared" si="41"/>
        <v>1212</v>
      </c>
      <c r="AU152" s="26">
        <f t="shared" si="41"/>
        <v>0</v>
      </c>
      <c r="AV152" s="26">
        <f t="shared" si="41"/>
        <v>0</v>
      </c>
    </row>
    <row r="153" spans="1:48" ht="117.75" customHeight="1">
      <c r="A153" s="105" t="s">
        <v>58</v>
      </c>
      <c r="B153" s="91">
        <v>2130</v>
      </c>
      <c r="C153" s="98" t="s">
        <v>57</v>
      </c>
      <c r="D153" s="84">
        <v>244</v>
      </c>
      <c r="E153" s="84" t="s">
        <v>165</v>
      </c>
      <c r="F153" s="87" t="s">
        <v>206</v>
      </c>
      <c r="G153" s="84" t="s">
        <v>159</v>
      </c>
      <c r="H153" s="84" t="s">
        <v>207</v>
      </c>
      <c r="I153" s="84" t="s">
        <v>208</v>
      </c>
      <c r="J153" s="87" t="s">
        <v>209</v>
      </c>
      <c r="K153" s="84" t="s">
        <v>138</v>
      </c>
      <c r="L153" s="91" t="s">
        <v>120</v>
      </c>
      <c r="M153" s="90" t="s">
        <v>129</v>
      </c>
      <c r="N153" s="84">
        <v>312.6</v>
      </c>
      <c r="O153" s="84"/>
      <c r="P153" s="81"/>
      <c r="Q153" s="103">
        <f>54.7+137.9+99.9</f>
        <v>292.5</v>
      </c>
      <c r="R153" s="24"/>
      <c r="S153" s="18"/>
      <c r="T153" s="84">
        <v>700</v>
      </c>
      <c r="U153" s="91"/>
      <c r="V153" s="84"/>
      <c r="W153" s="84">
        <v>1080</v>
      </c>
      <c r="X153" s="18"/>
      <c r="Y153" s="84"/>
      <c r="Z153" s="84">
        <v>1212</v>
      </c>
      <c r="AA153" s="18"/>
      <c r="AB153" s="18"/>
      <c r="AC153" s="84">
        <v>1212</v>
      </c>
      <c r="AD153" s="18"/>
      <c r="AE153" s="18"/>
      <c r="AF153" s="46" t="s">
        <v>284</v>
      </c>
      <c r="AG153" s="81" t="s">
        <v>287</v>
      </c>
      <c r="AH153" s="84">
        <v>312.6</v>
      </c>
      <c r="AI153" s="84"/>
      <c r="AJ153" s="81"/>
      <c r="AK153" s="84">
        <v>700</v>
      </c>
      <c r="AL153" s="91"/>
      <c r="AM153" s="84"/>
      <c r="AN153" s="84">
        <v>1080</v>
      </c>
      <c r="AO153" s="24"/>
      <c r="AP153" s="84"/>
      <c r="AQ153" s="84">
        <v>1212</v>
      </c>
      <c r="AR153" s="24"/>
      <c r="AS153" s="24"/>
      <c r="AT153" s="84">
        <v>1212</v>
      </c>
      <c r="AU153" s="24"/>
      <c r="AV153" s="24"/>
    </row>
    <row r="154" spans="1:48" ht="137.25" customHeight="1">
      <c r="A154" s="105"/>
      <c r="B154" s="91"/>
      <c r="C154" s="98"/>
      <c r="D154" s="84"/>
      <c r="E154" s="84"/>
      <c r="F154" s="87"/>
      <c r="G154" s="84"/>
      <c r="H154" s="84"/>
      <c r="I154" s="84"/>
      <c r="J154" s="87"/>
      <c r="K154" s="84"/>
      <c r="L154" s="91"/>
      <c r="M154" s="90"/>
      <c r="N154" s="84"/>
      <c r="O154" s="84"/>
      <c r="P154" s="83"/>
      <c r="Q154" s="103"/>
      <c r="R154" s="24"/>
      <c r="S154" s="18"/>
      <c r="T154" s="84"/>
      <c r="U154" s="91"/>
      <c r="V154" s="84"/>
      <c r="W154" s="84"/>
      <c r="X154" s="18"/>
      <c r="Y154" s="84"/>
      <c r="Z154" s="84"/>
      <c r="AA154" s="18"/>
      <c r="AB154" s="18"/>
      <c r="AC154" s="84"/>
      <c r="AD154" s="18"/>
      <c r="AE154" s="18"/>
      <c r="AF154" s="12"/>
      <c r="AG154" s="83"/>
      <c r="AH154" s="84"/>
      <c r="AI154" s="84"/>
      <c r="AJ154" s="83"/>
      <c r="AK154" s="84"/>
      <c r="AL154" s="91"/>
      <c r="AM154" s="84"/>
      <c r="AN154" s="84"/>
      <c r="AO154" s="24"/>
      <c r="AP154" s="84"/>
      <c r="AQ154" s="84"/>
      <c r="AR154" s="24"/>
      <c r="AS154" s="24"/>
      <c r="AT154" s="84"/>
      <c r="AU154" s="24"/>
      <c r="AV154" s="24"/>
    </row>
    <row r="155" spans="1:48" s="2" customFormat="1" ht="16.5" customHeight="1">
      <c r="A155" s="29"/>
      <c r="B155" s="4"/>
      <c r="C155" s="19"/>
      <c r="D155" s="18"/>
      <c r="E155" s="54"/>
      <c r="F155" s="53"/>
      <c r="G155" s="54"/>
      <c r="H155" s="54"/>
      <c r="I155" s="54"/>
      <c r="J155" s="53"/>
      <c r="K155" s="54"/>
      <c r="L155" s="11"/>
      <c r="M155" s="7"/>
      <c r="N155" s="18">
        <f>SUM(N156)</f>
        <v>312</v>
      </c>
      <c r="O155" s="18">
        <f aca="true" t="shared" si="42" ref="O155:AE155">SUM(O156)</f>
        <v>0</v>
      </c>
      <c r="P155" s="18">
        <f t="shared" si="42"/>
        <v>0</v>
      </c>
      <c r="Q155" s="18">
        <f t="shared" si="42"/>
        <v>250</v>
      </c>
      <c r="R155" s="24">
        <f>SUM(R156)</f>
        <v>0</v>
      </c>
      <c r="S155" s="18">
        <f t="shared" si="42"/>
        <v>0</v>
      </c>
      <c r="T155" s="18">
        <f t="shared" si="42"/>
        <v>600</v>
      </c>
      <c r="U155" s="18">
        <f t="shared" si="42"/>
        <v>36.2</v>
      </c>
      <c r="V155" s="18">
        <f t="shared" si="42"/>
        <v>0</v>
      </c>
      <c r="W155" s="18">
        <f t="shared" si="42"/>
        <v>1446</v>
      </c>
      <c r="X155" s="18">
        <f t="shared" si="42"/>
        <v>363</v>
      </c>
      <c r="Y155" s="18">
        <f t="shared" si="42"/>
        <v>0</v>
      </c>
      <c r="Z155" s="18">
        <f t="shared" si="42"/>
        <v>2446</v>
      </c>
      <c r="AA155" s="18">
        <f t="shared" si="42"/>
        <v>363</v>
      </c>
      <c r="AB155" s="18">
        <f t="shared" si="42"/>
        <v>0</v>
      </c>
      <c r="AC155" s="18">
        <f t="shared" si="42"/>
        <v>2446</v>
      </c>
      <c r="AD155" s="18">
        <f t="shared" si="42"/>
        <v>363</v>
      </c>
      <c r="AE155" s="18">
        <f t="shared" si="42"/>
        <v>0</v>
      </c>
      <c r="AF155" s="12"/>
      <c r="AG155" s="58"/>
      <c r="AH155" s="24">
        <f>SUM(AH156)</f>
        <v>312</v>
      </c>
      <c r="AI155" s="24">
        <f aca="true" t="shared" si="43" ref="AI155:AV155">SUM(AI156)</f>
        <v>0</v>
      </c>
      <c r="AJ155" s="24">
        <f t="shared" si="43"/>
        <v>0</v>
      </c>
      <c r="AK155" s="24">
        <f t="shared" si="43"/>
        <v>600</v>
      </c>
      <c r="AL155" s="24">
        <f t="shared" si="43"/>
        <v>36.2</v>
      </c>
      <c r="AM155" s="24">
        <f t="shared" si="43"/>
        <v>0</v>
      </c>
      <c r="AN155" s="24">
        <f t="shared" si="43"/>
        <v>1446</v>
      </c>
      <c r="AO155" s="24">
        <f t="shared" si="43"/>
        <v>363</v>
      </c>
      <c r="AP155" s="24">
        <f t="shared" si="43"/>
        <v>0</v>
      </c>
      <c r="AQ155" s="24">
        <f t="shared" si="43"/>
        <v>2446</v>
      </c>
      <c r="AR155" s="24">
        <f t="shared" si="43"/>
        <v>363</v>
      </c>
      <c r="AS155" s="24">
        <f t="shared" si="43"/>
        <v>0</v>
      </c>
      <c r="AT155" s="24">
        <f t="shared" si="43"/>
        <v>2446</v>
      </c>
      <c r="AU155" s="24">
        <f t="shared" si="43"/>
        <v>363</v>
      </c>
      <c r="AV155" s="24">
        <f t="shared" si="43"/>
        <v>0</v>
      </c>
    </row>
    <row r="156" spans="1:48" ht="108.75" customHeight="1">
      <c r="A156" s="84" t="s">
        <v>40</v>
      </c>
      <c r="B156" s="91">
        <v>2133</v>
      </c>
      <c r="C156" s="98" t="s">
        <v>41</v>
      </c>
      <c r="D156" s="84">
        <v>244</v>
      </c>
      <c r="E156" s="91" t="s">
        <v>165</v>
      </c>
      <c r="F156" s="90" t="s">
        <v>210</v>
      </c>
      <c r="G156" s="91" t="s">
        <v>159</v>
      </c>
      <c r="H156" s="91" t="s">
        <v>211</v>
      </c>
      <c r="I156" s="91" t="s">
        <v>212</v>
      </c>
      <c r="J156" s="90" t="s">
        <v>213</v>
      </c>
      <c r="K156" s="91" t="s">
        <v>139</v>
      </c>
      <c r="L156" s="91" t="s">
        <v>120</v>
      </c>
      <c r="M156" s="90" t="s">
        <v>126</v>
      </c>
      <c r="N156" s="96">
        <f>152+160</f>
        <v>312</v>
      </c>
      <c r="O156" s="84"/>
      <c r="P156" s="81"/>
      <c r="Q156" s="88">
        <f>152+98</f>
        <v>250</v>
      </c>
      <c r="R156" s="85"/>
      <c r="S156" s="81"/>
      <c r="T156" s="84">
        <f>200+200+200</f>
        <v>600</v>
      </c>
      <c r="U156" s="85">
        <f>36.2</f>
        <v>36.2</v>
      </c>
      <c r="V156" s="84"/>
      <c r="W156" s="84">
        <f>1000+213+233</f>
        <v>1446</v>
      </c>
      <c r="X156" s="85">
        <f>363</f>
        <v>363</v>
      </c>
      <c r="Y156" s="84"/>
      <c r="Z156" s="84">
        <f>2000+213+233</f>
        <v>2446</v>
      </c>
      <c r="AA156" s="85">
        <f>363</f>
        <v>363</v>
      </c>
      <c r="AB156" s="81"/>
      <c r="AC156" s="84">
        <f>2000+213+233</f>
        <v>2446</v>
      </c>
      <c r="AD156" s="85">
        <f>363</f>
        <v>363</v>
      </c>
      <c r="AE156" s="85"/>
      <c r="AF156" s="81" t="s">
        <v>284</v>
      </c>
      <c r="AG156" s="81" t="s">
        <v>287</v>
      </c>
      <c r="AH156" s="96">
        <f>152+160</f>
        <v>312</v>
      </c>
      <c r="AI156" s="84"/>
      <c r="AJ156" s="81"/>
      <c r="AK156" s="84">
        <f>200+200+200</f>
        <v>600</v>
      </c>
      <c r="AL156" s="85">
        <f>36.2</f>
        <v>36.2</v>
      </c>
      <c r="AM156" s="84"/>
      <c r="AN156" s="84">
        <f>1000+213+233</f>
        <v>1446</v>
      </c>
      <c r="AO156" s="85">
        <f>363</f>
        <v>363</v>
      </c>
      <c r="AP156" s="84"/>
      <c r="AQ156" s="84">
        <f>2000+213+233</f>
        <v>2446</v>
      </c>
      <c r="AR156" s="85">
        <f>363</f>
        <v>363</v>
      </c>
      <c r="AS156" s="85"/>
      <c r="AT156" s="84">
        <f>2000+213+233</f>
        <v>2446</v>
      </c>
      <c r="AU156" s="85">
        <f>363</f>
        <v>363</v>
      </c>
      <c r="AV156" s="85"/>
    </row>
    <row r="157" spans="1:48" ht="39" customHeight="1">
      <c r="A157" s="84"/>
      <c r="B157" s="91"/>
      <c r="C157" s="98"/>
      <c r="D157" s="84"/>
      <c r="E157" s="91"/>
      <c r="F157" s="90"/>
      <c r="G157" s="91"/>
      <c r="H157" s="91"/>
      <c r="I157" s="91"/>
      <c r="J157" s="90"/>
      <c r="K157" s="91"/>
      <c r="L157" s="91"/>
      <c r="M157" s="90"/>
      <c r="N157" s="96"/>
      <c r="O157" s="84"/>
      <c r="P157" s="83"/>
      <c r="Q157" s="89"/>
      <c r="R157" s="86"/>
      <c r="S157" s="83"/>
      <c r="T157" s="84"/>
      <c r="U157" s="86"/>
      <c r="V157" s="84"/>
      <c r="W157" s="84"/>
      <c r="X157" s="86"/>
      <c r="Y157" s="84"/>
      <c r="Z157" s="84"/>
      <c r="AA157" s="86"/>
      <c r="AB157" s="83"/>
      <c r="AC157" s="84"/>
      <c r="AD157" s="86"/>
      <c r="AE157" s="86"/>
      <c r="AF157" s="83"/>
      <c r="AG157" s="83"/>
      <c r="AH157" s="96"/>
      <c r="AI157" s="84"/>
      <c r="AJ157" s="83"/>
      <c r="AK157" s="84"/>
      <c r="AL157" s="86"/>
      <c r="AM157" s="84"/>
      <c r="AN157" s="84"/>
      <c r="AO157" s="86"/>
      <c r="AP157" s="84"/>
      <c r="AQ157" s="84"/>
      <c r="AR157" s="86"/>
      <c r="AS157" s="86"/>
      <c r="AT157" s="84"/>
      <c r="AU157" s="86"/>
      <c r="AV157" s="86"/>
    </row>
    <row r="158" spans="1:48" s="2" customFormat="1" ht="18" customHeight="1">
      <c r="A158" s="18"/>
      <c r="B158" s="4"/>
      <c r="C158" s="19"/>
      <c r="D158" s="18"/>
      <c r="E158" s="51"/>
      <c r="F158" s="7"/>
      <c r="G158" s="52"/>
      <c r="H158" s="52"/>
      <c r="I158" s="52"/>
      <c r="J158" s="7"/>
      <c r="K158" s="52"/>
      <c r="L158" s="11"/>
      <c r="M158" s="7"/>
      <c r="N158" s="13">
        <f>N159+N160+N161+N162+N163+N164</f>
        <v>6314</v>
      </c>
      <c r="O158" s="13">
        <f aca="true" t="shared" si="44" ref="O158:AB158">O159+O160+O161+O162+O163+O164</f>
        <v>31.2</v>
      </c>
      <c r="P158" s="13">
        <f t="shared" si="44"/>
        <v>5589.6</v>
      </c>
      <c r="Q158" s="13">
        <f t="shared" si="44"/>
        <v>6299.1</v>
      </c>
      <c r="R158" s="13">
        <f t="shared" si="44"/>
        <v>31.2</v>
      </c>
      <c r="S158" s="13">
        <f t="shared" si="44"/>
        <v>5588.3</v>
      </c>
      <c r="T158" s="13">
        <f t="shared" si="44"/>
        <v>6358</v>
      </c>
      <c r="U158" s="13">
        <f t="shared" si="44"/>
        <v>50</v>
      </c>
      <c r="V158" s="13">
        <f t="shared" si="44"/>
        <v>5522.8</v>
      </c>
      <c r="W158" s="13">
        <f t="shared" si="44"/>
        <v>6587.799999999999</v>
      </c>
      <c r="X158" s="13">
        <f t="shared" si="44"/>
        <v>50</v>
      </c>
      <c r="Y158" s="13">
        <f t="shared" si="44"/>
        <v>5994.5</v>
      </c>
      <c r="Z158" s="13">
        <f t="shared" si="44"/>
        <v>6587.799999999999</v>
      </c>
      <c r="AA158" s="13">
        <f t="shared" si="44"/>
        <v>50</v>
      </c>
      <c r="AB158" s="13">
        <f t="shared" si="44"/>
        <v>5994.5</v>
      </c>
      <c r="AC158" s="13">
        <f>AC159+AC160+AC161+AC162+AC163+AC164</f>
        <v>6587.799999999999</v>
      </c>
      <c r="AD158" s="13">
        <f>AD159+AD160+AD161+AD162+AD163+AD164</f>
        <v>50</v>
      </c>
      <c r="AE158" s="13">
        <f>AE159+AE160+AE161+AE162+AE163+AE164</f>
        <v>5994.5</v>
      </c>
      <c r="AF158" s="12"/>
      <c r="AG158" s="58"/>
      <c r="AH158" s="35">
        <f>AH159+AH160+AH161+AH162+AH163+AH164</f>
        <v>6314</v>
      </c>
      <c r="AI158" s="35">
        <f aca="true" t="shared" si="45" ref="AI158:AS158">AI159+AI160+AI161+AI162+AI163+AI164</f>
        <v>31.2</v>
      </c>
      <c r="AJ158" s="35">
        <f t="shared" si="45"/>
        <v>5589.6</v>
      </c>
      <c r="AK158" s="35">
        <f t="shared" si="45"/>
        <v>6358</v>
      </c>
      <c r="AL158" s="35">
        <f t="shared" si="45"/>
        <v>50</v>
      </c>
      <c r="AM158" s="35">
        <f t="shared" si="45"/>
        <v>5522.8</v>
      </c>
      <c r="AN158" s="35">
        <f t="shared" si="45"/>
        <v>6587.799999999999</v>
      </c>
      <c r="AO158" s="35">
        <f t="shared" si="45"/>
        <v>50</v>
      </c>
      <c r="AP158" s="35">
        <f t="shared" si="45"/>
        <v>5994.5</v>
      </c>
      <c r="AQ158" s="35">
        <f t="shared" si="45"/>
        <v>6587.799999999999</v>
      </c>
      <c r="AR158" s="35">
        <f t="shared" si="45"/>
        <v>50</v>
      </c>
      <c r="AS158" s="35">
        <f t="shared" si="45"/>
        <v>5994.5</v>
      </c>
      <c r="AT158" s="35">
        <f>AT159+AT160+AT161+AT162+AT163+AT164</f>
        <v>6587.799999999999</v>
      </c>
      <c r="AU158" s="35">
        <f>AU159+AU160+AU161+AU162+AU163+AU164</f>
        <v>50</v>
      </c>
      <c r="AV158" s="35">
        <f>AV159+AV160+AV161+AV162+AV163+AV164</f>
        <v>5994.5</v>
      </c>
    </row>
    <row r="159" spans="1:48" ht="21.75" customHeight="1">
      <c r="A159" s="84" t="s">
        <v>42</v>
      </c>
      <c r="B159" s="91">
        <v>2134</v>
      </c>
      <c r="C159" s="10" t="s">
        <v>41</v>
      </c>
      <c r="D159" s="3">
        <v>111</v>
      </c>
      <c r="E159" s="84" t="s">
        <v>165</v>
      </c>
      <c r="F159" s="87" t="s">
        <v>214</v>
      </c>
      <c r="G159" s="84" t="s">
        <v>159</v>
      </c>
      <c r="H159" s="91" t="s">
        <v>211</v>
      </c>
      <c r="I159" s="91" t="s">
        <v>212</v>
      </c>
      <c r="J159" s="90" t="s">
        <v>213</v>
      </c>
      <c r="K159" s="84" t="s">
        <v>139</v>
      </c>
      <c r="L159" s="91" t="s">
        <v>120</v>
      </c>
      <c r="M159" s="90" t="s">
        <v>126</v>
      </c>
      <c r="N159" s="3">
        <f>4293.1</f>
        <v>4293.1</v>
      </c>
      <c r="O159" s="3"/>
      <c r="P159" s="3">
        <f>4293.1</f>
        <v>4293.1</v>
      </c>
      <c r="Q159" s="3">
        <f>4293.1</f>
        <v>4293.1</v>
      </c>
      <c r="R159" s="3"/>
      <c r="S159" s="3">
        <f>4293.1</f>
        <v>4293.1</v>
      </c>
      <c r="T159" s="14">
        <v>4285</v>
      </c>
      <c r="U159" s="3"/>
      <c r="V159" s="14">
        <v>4285</v>
      </c>
      <c r="W159" s="3">
        <v>4604.1</v>
      </c>
      <c r="X159" s="3"/>
      <c r="Y159" s="3">
        <v>4604.1</v>
      </c>
      <c r="Z159" s="3">
        <v>4604.1</v>
      </c>
      <c r="AA159" s="3"/>
      <c r="AB159" s="3">
        <v>4604.1</v>
      </c>
      <c r="AC159" s="3">
        <v>4604.1</v>
      </c>
      <c r="AD159" s="3"/>
      <c r="AE159" s="3">
        <v>4604.1</v>
      </c>
      <c r="AF159" s="97" t="s">
        <v>285</v>
      </c>
      <c r="AG159" s="81" t="s">
        <v>287</v>
      </c>
      <c r="AH159" s="26">
        <f>4293.1</f>
        <v>4293.1</v>
      </c>
      <c r="AI159" s="26"/>
      <c r="AJ159" s="26">
        <f>4293.1</f>
        <v>4293.1</v>
      </c>
      <c r="AK159" s="14">
        <v>4285</v>
      </c>
      <c r="AL159" s="26"/>
      <c r="AM159" s="14">
        <v>4285</v>
      </c>
      <c r="AN159" s="26">
        <v>4604.1</v>
      </c>
      <c r="AO159" s="26"/>
      <c r="AP159" s="26">
        <v>4604.1</v>
      </c>
      <c r="AQ159" s="26">
        <v>4604.1</v>
      </c>
      <c r="AR159" s="26"/>
      <c r="AS159" s="26">
        <v>4604.1</v>
      </c>
      <c r="AT159" s="26">
        <v>4604.1</v>
      </c>
      <c r="AU159" s="26"/>
      <c r="AV159" s="26">
        <v>4604.1</v>
      </c>
    </row>
    <row r="160" spans="1:48" ht="18.75" customHeight="1">
      <c r="A160" s="84"/>
      <c r="B160" s="91"/>
      <c r="C160" s="10" t="s">
        <v>41</v>
      </c>
      <c r="D160" s="3">
        <v>112</v>
      </c>
      <c r="E160" s="84"/>
      <c r="F160" s="87"/>
      <c r="G160" s="84"/>
      <c r="H160" s="91"/>
      <c r="I160" s="91"/>
      <c r="J160" s="90"/>
      <c r="K160" s="84"/>
      <c r="L160" s="91"/>
      <c r="M160" s="90"/>
      <c r="N160" s="3">
        <f>19.2</f>
        <v>19.2</v>
      </c>
      <c r="O160" s="3"/>
      <c r="P160" s="3"/>
      <c r="Q160" s="3">
        <f>19.2</f>
        <v>19.2</v>
      </c>
      <c r="R160" s="3"/>
      <c r="S160" s="3"/>
      <c r="T160" s="3">
        <v>100.8</v>
      </c>
      <c r="U160" s="3"/>
      <c r="V160" s="3"/>
      <c r="W160" s="3">
        <v>38.9</v>
      </c>
      <c r="X160" s="3"/>
      <c r="Y160" s="3"/>
      <c r="Z160" s="3">
        <v>38.9</v>
      </c>
      <c r="AA160" s="3"/>
      <c r="AB160" s="3"/>
      <c r="AC160" s="3">
        <v>38.9</v>
      </c>
      <c r="AD160" s="3"/>
      <c r="AE160" s="3"/>
      <c r="AF160" s="97"/>
      <c r="AG160" s="82"/>
      <c r="AH160" s="26">
        <f>19.2</f>
        <v>19.2</v>
      </c>
      <c r="AI160" s="26"/>
      <c r="AJ160" s="26"/>
      <c r="AK160" s="26">
        <v>100.8</v>
      </c>
      <c r="AL160" s="26"/>
      <c r="AM160" s="26"/>
      <c r="AN160" s="26">
        <v>38.9</v>
      </c>
      <c r="AO160" s="26"/>
      <c r="AP160" s="26"/>
      <c r="AQ160" s="26">
        <v>38.9</v>
      </c>
      <c r="AR160" s="26"/>
      <c r="AS160" s="26"/>
      <c r="AT160" s="26">
        <v>38.9</v>
      </c>
      <c r="AU160" s="26"/>
      <c r="AV160" s="26"/>
    </row>
    <row r="161" spans="1:48" ht="21.75" customHeight="1">
      <c r="A161" s="84"/>
      <c r="B161" s="91"/>
      <c r="C161" s="10" t="s">
        <v>41</v>
      </c>
      <c r="D161" s="3">
        <v>119</v>
      </c>
      <c r="E161" s="84"/>
      <c r="F161" s="87"/>
      <c r="G161" s="84"/>
      <c r="H161" s="91"/>
      <c r="I161" s="91"/>
      <c r="J161" s="90"/>
      <c r="K161" s="84"/>
      <c r="L161" s="91"/>
      <c r="M161" s="90"/>
      <c r="N161" s="3">
        <f>1296.5</f>
        <v>1296.5</v>
      </c>
      <c r="O161" s="3"/>
      <c r="P161" s="3">
        <f>1296.5</f>
        <v>1296.5</v>
      </c>
      <c r="Q161" s="3">
        <f>1295.2</f>
        <v>1295.2</v>
      </c>
      <c r="R161" s="3"/>
      <c r="S161" s="3">
        <f>1295.2</f>
        <v>1295.2</v>
      </c>
      <c r="T161" s="3">
        <v>1237.8</v>
      </c>
      <c r="U161" s="3"/>
      <c r="V161" s="3">
        <v>1237.8</v>
      </c>
      <c r="W161" s="3">
        <v>1390.4</v>
      </c>
      <c r="X161" s="3"/>
      <c r="Y161" s="3">
        <v>1390.4</v>
      </c>
      <c r="Z161" s="3">
        <v>1390.4</v>
      </c>
      <c r="AA161" s="3"/>
      <c r="AB161" s="3">
        <v>1390.4</v>
      </c>
      <c r="AC161" s="3">
        <v>1390.4</v>
      </c>
      <c r="AD161" s="3"/>
      <c r="AE161" s="3">
        <v>1390.4</v>
      </c>
      <c r="AF161" s="97"/>
      <c r="AG161" s="82"/>
      <c r="AH161" s="26">
        <f>1296.5</f>
        <v>1296.5</v>
      </c>
      <c r="AI161" s="26"/>
      <c r="AJ161" s="26">
        <f>1296.5</f>
        <v>1296.5</v>
      </c>
      <c r="AK161" s="26">
        <v>1237.8</v>
      </c>
      <c r="AL161" s="26"/>
      <c r="AM161" s="26">
        <v>1237.8</v>
      </c>
      <c r="AN161" s="26">
        <v>1390.4</v>
      </c>
      <c r="AO161" s="26"/>
      <c r="AP161" s="26">
        <v>1390.4</v>
      </c>
      <c r="AQ161" s="26">
        <v>1390.4</v>
      </c>
      <c r="AR161" s="26"/>
      <c r="AS161" s="26">
        <v>1390.4</v>
      </c>
      <c r="AT161" s="26">
        <v>1390.4</v>
      </c>
      <c r="AU161" s="26"/>
      <c r="AV161" s="26">
        <v>1390.4</v>
      </c>
    </row>
    <row r="162" spans="1:48" ht="21" customHeight="1">
      <c r="A162" s="84"/>
      <c r="B162" s="91"/>
      <c r="C162" s="10" t="s">
        <v>41</v>
      </c>
      <c r="D162" s="3">
        <v>244</v>
      </c>
      <c r="E162" s="84"/>
      <c r="F162" s="87"/>
      <c r="G162" s="84"/>
      <c r="H162" s="91"/>
      <c r="I162" s="91"/>
      <c r="J162" s="90"/>
      <c r="K162" s="84"/>
      <c r="L162" s="91"/>
      <c r="M162" s="90"/>
      <c r="N162" s="3">
        <v>704.6</v>
      </c>
      <c r="O162" s="3">
        <v>31.2</v>
      </c>
      <c r="P162" s="3"/>
      <c r="Q162" s="3">
        <v>691.6</v>
      </c>
      <c r="R162" s="3">
        <v>31.2</v>
      </c>
      <c r="S162" s="3"/>
      <c r="T162" s="3">
        <v>733.8</v>
      </c>
      <c r="U162" s="3">
        <f>50</f>
        <v>50</v>
      </c>
      <c r="V162" s="3"/>
      <c r="W162" s="3">
        <v>553.8</v>
      </c>
      <c r="X162" s="3">
        <f>50</f>
        <v>50</v>
      </c>
      <c r="Y162" s="3"/>
      <c r="Z162" s="3">
        <v>553.8</v>
      </c>
      <c r="AA162" s="3">
        <f>50</f>
        <v>50</v>
      </c>
      <c r="AB162" s="3"/>
      <c r="AC162" s="3">
        <v>553.8</v>
      </c>
      <c r="AD162" s="3">
        <f>50</f>
        <v>50</v>
      </c>
      <c r="AE162" s="3"/>
      <c r="AF162" s="97"/>
      <c r="AG162" s="82"/>
      <c r="AH162" s="26">
        <v>704.6</v>
      </c>
      <c r="AI162" s="26">
        <v>31.2</v>
      </c>
      <c r="AJ162" s="26"/>
      <c r="AK162" s="26">
        <v>733.8</v>
      </c>
      <c r="AL162" s="26">
        <f>50</f>
        <v>50</v>
      </c>
      <c r="AM162" s="26"/>
      <c r="AN162" s="26">
        <v>553.8</v>
      </c>
      <c r="AO162" s="26">
        <f>50</f>
        <v>50</v>
      </c>
      <c r="AP162" s="26"/>
      <c r="AQ162" s="26">
        <v>553.8</v>
      </c>
      <c r="AR162" s="26">
        <f>50</f>
        <v>50</v>
      </c>
      <c r="AS162" s="26"/>
      <c r="AT162" s="26">
        <v>553.8</v>
      </c>
      <c r="AU162" s="26">
        <f>50</f>
        <v>50</v>
      </c>
      <c r="AV162" s="26"/>
    </row>
    <row r="163" spans="1:48" ht="24.75" customHeight="1">
      <c r="A163" s="84"/>
      <c r="B163" s="91"/>
      <c r="C163" s="10" t="s">
        <v>41</v>
      </c>
      <c r="D163" s="3">
        <v>851</v>
      </c>
      <c r="E163" s="84"/>
      <c r="F163" s="87"/>
      <c r="G163" s="84"/>
      <c r="H163" s="91"/>
      <c r="I163" s="91"/>
      <c r="J163" s="90"/>
      <c r="K163" s="84"/>
      <c r="L163" s="91"/>
      <c r="M163" s="90"/>
      <c r="N163" s="3">
        <v>0.4</v>
      </c>
      <c r="O163" s="3"/>
      <c r="P163" s="3"/>
      <c r="Q163" s="3">
        <v>0</v>
      </c>
      <c r="R163" s="3"/>
      <c r="S163" s="3"/>
      <c r="T163" s="3">
        <v>0.4</v>
      </c>
      <c r="U163" s="3"/>
      <c r="V163" s="3"/>
      <c r="W163" s="3">
        <v>0.4</v>
      </c>
      <c r="X163" s="3"/>
      <c r="Y163" s="3"/>
      <c r="Z163" s="3">
        <v>0.4</v>
      </c>
      <c r="AA163" s="3"/>
      <c r="AB163" s="3"/>
      <c r="AC163" s="3">
        <v>0.4</v>
      </c>
      <c r="AD163" s="3"/>
      <c r="AE163" s="3"/>
      <c r="AF163" s="97"/>
      <c r="AG163" s="82"/>
      <c r="AH163" s="26">
        <v>0.4</v>
      </c>
      <c r="AI163" s="26"/>
      <c r="AJ163" s="26"/>
      <c r="AK163" s="26">
        <v>0.4</v>
      </c>
      <c r="AL163" s="26"/>
      <c r="AM163" s="26"/>
      <c r="AN163" s="26">
        <v>0.4</v>
      </c>
      <c r="AO163" s="26"/>
      <c r="AP163" s="26"/>
      <c r="AQ163" s="26">
        <v>0.4</v>
      </c>
      <c r="AR163" s="26"/>
      <c r="AS163" s="26"/>
      <c r="AT163" s="26">
        <v>0.4</v>
      </c>
      <c r="AU163" s="26"/>
      <c r="AV163" s="26"/>
    </row>
    <row r="164" spans="1:48" ht="24" customHeight="1">
      <c r="A164" s="84"/>
      <c r="B164" s="91"/>
      <c r="C164" s="10" t="s">
        <v>41</v>
      </c>
      <c r="D164" s="3">
        <v>853</v>
      </c>
      <c r="E164" s="84"/>
      <c r="F164" s="87"/>
      <c r="G164" s="84"/>
      <c r="H164" s="91"/>
      <c r="I164" s="91"/>
      <c r="J164" s="90"/>
      <c r="K164" s="84"/>
      <c r="L164" s="91"/>
      <c r="M164" s="90"/>
      <c r="N164" s="3">
        <v>0.2</v>
      </c>
      <c r="O164" s="3"/>
      <c r="P164" s="3"/>
      <c r="Q164" s="3">
        <v>0</v>
      </c>
      <c r="R164" s="3"/>
      <c r="S164" s="3"/>
      <c r="T164" s="3">
        <v>0.2</v>
      </c>
      <c r="U164" s="3"/>
      <c r="V164" s="3"/>
      <c r="W164" s="3">
        <v>0.2</v>
      </c>
      <c r="X164" s="3"/>
      <c r="Y164" s="3"/>
      <c r="Z164" s="3">
        <v>0.2</v>
      </c>
      <c r="AA164" s="3"/>
      <c r="AB164" s="3"/>
      <c r="AC164" s="3">
        <v>0.2</v>
      </c>
      <c r="AD164" s="3"/>
      <c r="AE164" s="3"/>
      <c r="AF164" s="97"/>
      <c r="AG164" s="83"/>
      <c r="AH164" s="26">
        <v>0.2</v>
      </c>
      <c r="AI164" s="26"/>
      <c r="AJ164" s="26"/>
      <c r="AK164" s="26">
        <v>0.2</v>
      </c>
      <c r="AL164" s="26"/>
      <c r="AM164" s="26"/>
      <c r="AN164" s="26">
        <v>0.2</v>
      </c>
      <c r="AO164" s="26"/>
      <c r="AP164" s="26"/>
      <c r="AQ164" s="26">
        <v>0.2</v>
      </c>
      <c r="AR164" s="26"/>
      <c r="AS164" s="26"/>
      <c r="AT164" s="26">
        <v>0.2</v>
      </c>
      <c r="AU164" s="26"/>
      <c r="AV164" s="26"/>
    </row>
    <row r="165" spans="1:48" s="2" customFormat="1" ht="16.5" customHeight="1">
      <c r="A165" s="18"/>
      <c r="B165" s="4"/>
      <c r="C165" s="10"/>
      <c r="D165" s="3"/>
      <c r="E165" s="54"/>
      <c r="F165" s="53"/>
      <c r="G165" s="54"/>
      <c r="H165" s="54"/>
      <c r="I165" s="54"/>
      <c r="J165" s="53"/>
      <c r="K165" s="54"/>
      <c r="L165" s="56"/>
      <c r="M165" s="53"/>
      <c r="N165" s="14">
        <f>SUM(N166+N167+N168+N169+N170+N171+N172)</f>
        <v>2485.1</v>
      </c>
      <c r="O165" s="3">
        <f aca="true" t="shared" si="46" ref="O165:AB165">SUM(O166+O167+O168+O169+O170+O171+O172)</f>
        <v>0</v>
      </c>
      <c r="P165" s="3">
        <f t="shared" si="46"/>
        <v>0</v>
      </c>
      <c r="Q165" s="3">
        <f t="shared" si="46"/>
        <v>2421</v>
      </c>
      <c r="R165" s="3">
        <f t="shared" si="46"/>
        <v>0</v>
      </c>
      <c r="S165" s="3">
        <f t="shared" si="46"/>
        <v>0</v>
      </c>
      <c r="T165" s="3">
        <f t="shared" si="46"/>
        <v>757</v>
      </c>
      <c r="U165" s="3">
        <f t="shared" si="46"/>
        <v>0</v>
      </c>
      <c r="V165" s="3">
        <f t="shared" si="46"/>
        <v>0</v>
      </c>
      <c r="W165" s="3">
        <f t="shared" si="46"/>
        <v>810</v>
      </c>
      <c r="X165" s="3">
        <f t="shared" si="46"/>
        <v>0</v>
      </c>
      <c r="Y165" s="3">
        <f t="shared" si="46"/>
        <v>0</v>
      </c>
      <c r="Z165" s="3">
        <f t="shared" si="46"/>
        <v>850</v>
      </c>
      <c r="AA165" s="3">
        <f t="shared" si="46"/>
        <v>0</v>
      </c>
      <c r="AB165" s="3">
        <f t="shared" si="46"/>
        <v>0</v>
      </c>
      <c r="AC165" s="3">
        <f>SUM(AC166+AC167+AC168+AC169+AC170+AC171+AC172)</f>
        <v>850</v>
      </c>
      <c r="AD165" s="3">
        <f>SUM(AD166+AD167+AD168+AD169+AD170+AD171+AD172)</f>
        <v>0</v>
      </c>
      <c r="AE165" s="3">
        <f>SUM(AE166+AE167+AE168+AE169+AE170+AE171+AE172)</f>
        <v>0</v>
      </c>
      <c r="AF165" s="97"/>
      <c r="AG165" s="58"/>
      <c r="AH165" s="14">
        <f>SUM(AH166+AH167+AH168+AH169+AH170+AH171+AH172)</f>
        <v>2485.1</v>
      </c>
      <c r="AI165" s="26">
        <f aca="true" t="shared" si="47" ref="AI165:AS165">SUM(AI166+AI167+AI168+AI169+AI170+AI171+AI172)</f>
        <v>0</v>
      </c>
      <c r="AJ165" s="26">
        <f t="shared" si="47"/>
        <v>0</v>
      </c>
      <c r="AK165" s="26">
        <f t="shared" si="47"/>
        <v>757</v>
      </c>
      <c r="AL165" s="26">
        <f t="shared" si="47"/>
        <v>0</v>
      </c>
      <c r="AM165" s="26">
        <f t="shared" si="47"/>
        <v>0</v>
      </c>
      <c r="AN165" s="26">
        <f t="shared" si="47"/>
        <v>810</v>
      </c>
      <c r="AO165" s="26">
        <f t="shared" si="47"/>
        <v>0</v>
      </c>
      <c r="AP165" s="26">
        <f t="shared" si="47"/>
        <v>0</v>
      </c>
      <c r="AQ165" s="26">
        <f t="shared" si="47"/>
        <v>850</v>
      </c>
      <c r="AR165" s="26">
        <f t="shared" si="47"/>
        <v>0</v>
      </c>
      <c r="AS165" s="26">
        <f t="shared" si="47"/>
        <v>0</v>
      </c>
      <c r="AT165" s="26">
        <f>SUM(AT166+AT167+AT168+AT169+AT170+AT171+AT172)</f>
        <v>850</v>
      </c>
      <c r="AU165" s="26">
        <f>SUM(AU166+AU167+AU168+AU169+AU170+AU171+AU172)</f>
        <v>0</v>
      </c>
      <c r="AV165" s="26">
        <f>SUM(AV166+AV167+AV168+AV169+AV170+AV171+AV172)</f>
        <v>0</v>
      </c>
    </row>
    <row r="166" spans="1:48" ht="20.25" customHeight="1">
      <c r="A166" s="84" t="s">
        <v>56</v>
      </c>
      <c r="B166" s="91">
        <v>2138</v>
      </c>
      <c r="C166" s="10" t="s">
        <v>57</v>
      </c>
      <c r="D166" s="3">
        <v>630</v>
      </c>
      <c r="E166" s="84" t="s">
        <v>165</v>
      </c>
      <c r="F166" s="87" t="s">
        <v>215</v>
      </c>
      <c r="G166" s="84" t="s">
        <v>159</v>
      </c>
      <c r="H166" s="84" t="s">
        <v>216</v>
      </c>
      <c r="I166" s="84" t="s">
        <v>217</v>
      </c>
      <c r="J166" s="87" t="s">
        <v>218</v>
      </c>
      <c r="K166" s="91" t="s">
        <v>137</v>
      </c>
      <c r="L166" s="84" t="s">
        <v>120</v>
      </c>
      <c r="M166" s="90" t="s">
        <v>126</v>
      </c>
      <c r="N166" s="3"/>
      <c r="O166" s="3"/>
      <c r="P166" s="3"/>
      <c r="Q166" s="3"/>
      <c r="R166" s="3"/>
      <c r="S166" s="3"/>
      <c r="T166" s="3"/>
      <c r="U166" s="3"/>
      <c r="V166" s="3"/>
      <c r="W166" s="3"/>
      <c r="X166" s="3"/>
      <c r="Y166" s="3"/>
      <c r="Z166" s="3"/>
      <c r="AA166" s="3"/>
      <c r="AB166" s="3"/>
      <c r="AC166" s="3"/>
      <c r="AD166" s="3"/>
      <c r="AE166" s="3"/>
      <c r="AF166" s="81" t="s">
        <v>284</v>
      </c>
      <c r="AG166" s="81" t="s">
        <v>287</v>
      </c>
      <c r="AH166" s="26"/>
      <c r="AI166" s="26"/>
      <c r="AJ166" s="26"/>
      <c r="AK166" s="26"/>
      <c r="AL166" s="26"/>
      <c r="AM166" s="26"/>
      <c r="AN166" s="26"/>
      <c r="AO166" s="26"/>
      <c r="AP166" s="26"/>
      <c r="AQ166" s="26"/>
      <c r="AR166" s="26"/>
      <c r="AS166" s="26"/>
      <c r="AT166" s="26"/>
      <c r="AU166" s="26"/>
      <c r="AV166" s="26"/>
    </row>
    <row r="167" spans="1:48" ht="22.5" customHeight="1">
      <c r="A167" s="84"/>
      <c r="B167" s="91"/>
      <c r="C167" s="10" t="s">
        <v>57</v>
      </c>
      <c r="D167" s="3">
        <v>632</v>
      </c>
      <c r="E167" s="84"/>
      <c r="F167" s="87"/>
      <c r="G167" s="84"/>
      <c r="H167" s="84"/>
      <c r="I167" s="84"/>
      <c r="J167" s="87"/>
      <c r="K167" s="91"/>
      <c r="L167" s="84"/>
      <c r="M167" s="90"/>
      <c r="N167" s="3"/>
      <c r="O167" s="3"/>
      <c r="P167" s="3"/>
      <c r="Q167" s="3"/>
      <c r="R167" s="3"/>
      <c r="S167" s="3"/>
      <c r="T167" s="3">
        <v>400</v>
      </c>
      <c r="U167" s="3"/>
      <c r="V167" s="3"/>
      <c r="W167" s="3">
        <v>450</v>
      </c>
      <c r="X167" s="3"/>
      <c r="Y167" s="3"/>
      <c r="Z167" s="3">
        <v>450</v>
      </c>
      <c r="AA167" s="3"/>
      <c r="AB167" s="3"/>
      <c r="AC167" s="3">
        <v>450</v>
      </c>
      <c r="AD167" s="3"/>
      <c r="AE167" s="3"/>
      <c r="AF167" s="82"/>
      <c r="AG167" s="82"/>
      <c r="AH167" s="26"/>
      <c r="AI167" s="26"/>
      <c r="AJ167" s="26"/>
      <c r="AK167" s="26">
        <v>400</v>
      </c>
      <c r="AL167" s="26"/>
      <c r="AM167" s="26"/>
      <c r="AN167" s="26">
        <v>450</v>
      </c>
      <c r="AO167" s="26"/>
      <c r="AP167" s="26"/>
      <c r="AQ167" s="26">
        <v>450</v>
      </c>
      <c r="AR167" s="26"/>
      <c r="AS167" s="26"/>
      <c r="AT167" s="26">
        <v>450</v>
      </c>
      <c r="AU167" s="26"/>
      <c r="AV167" s="26"/>
    </row>
    <row r="168" spans="1:48" ht="22.5" customHeight="1">
      <c r="A168" s="84"/>
      <c r="B168" s="91"/>
      <c r="C168" s="10" t="s">
        <v>57</v>
      </c>
      <c r="D168" s="3">
        <v>634</v>
      </c>
      <c r="E168" s="84"/>
      <c r="F168" s="87"/>
      <c r="G168" s="84"/>
      <c r="H168" s="84"/>
      <c r="I168" s="84"/>
      <c r="J168" s="87"/>
      <c r="K168" s="91"/>
      <c r="L168" s="84"/>
      <c r="M168" s="90"/>
      <c r="N168" s="14">
        <f>734+426</f>
        <v>1160</v>
      </c>
      <c r="O168" s="3"/>
      <c r="P168" s="3"/>
      <c r="Q168" s="14">
        <f>734+426</f>
        <v>1160</v>
      </c>
      <c r="R168" s="3"/>
      <c r="S168" s="3"/>
      <c r="T168" s="3"/>
      <c r="U168" s="3"/>
      <c r="V168" s="3"/>
      <c r="W168" s="3"/>
      <c r="X168" s="3"/>
      <c r="Y168" s="3"/>
      <c r="Z168" s="3"/>
      <c r="AA168" s="3"/>
      <c r="AB168" s="3"/>
      <c r="AC168" s="3"/>
      <c r="AD168" s="3"/>
      <c r="AE168" s="3"/>
      <c r="AF168" s="82"/>
      <c r="AG168" s="82"/>
      <c r="AH168" s="14">
        <f>734+426</f>
        <v>1160</v>
      </c>
      <c r="AI168" s="26"/>
      <c r="AJ168" s="26"/>
      <c r="AK168" s="26"/>
      <c r="AL168" s="26"/>
      <c r="AM168" s="26"/>
      <c r="AN168" s="26"/>
      <c r="AO168" s="26"/>
      <c r="AP168" s="26"/>
      <c r="AQ168" s="26"/>
      <c r="AR168" s="26"/>
      <c r="AS168" s="26"/>
      <c r="AT168" s="26"/>
      <c r="AU168" s="26"/>
      <c r="AV168" s="26"/>
    </row>
    <row r="169" spans="1:48" ht="18.75" customHeight="1">
      <c r="A169" s="84"/>
      <c r="B169" s="91"/>
      <c r="C169" s="10" t="s">
        <v>57</v>
      </c>
      <c r="D169" s="3">
        <v>810</v>
      </c>
      <c r="E169" s="84"/>
      <c r="F169" s="87"/>
      <c r="G169" s="84"/>
      <c r="H169" s="84"/>
      <c r="I169" s="84"/>
      <c r="J169" s="87"/>
      <c r="K169" s="91"/>
      <c r="L169" s="84"/>
      <c r="M169" s="90"/>
      <c r="N169" s="3"/>
      <c r="O169" s="3"/>
      <c r="P169" s="3"/>
      <c r="Q169" s="3"/>
      <c r="R169" s="3"/>
      <c r="S169" s="3"/>
      <c r="T169" s="3"/>
      <c r="U169" s="3"/>
      <c r="V169" s="3"/>
      <c r="W169" s="3"/>
      <c r="X169" s="3"/>
      <c r="Y169" s="3"/>
      <c r="Z169" s="3"/>
      <c r="AA169" s="3"/>
      <c r="AB169" s="3"/>
      <c r="AC169" s="3"/>
      <c r="AD169" s="3"/>
      <c r="AE169" s="3"/>
      <c r="AF169" s="82"/>
      <c r="AG169" s="82"/>
      <c r="AH169" s="26"/>
      <c r="AI169" s="26"/>
      <c r="AJ169" s="26"/>
      <c r="AK169" s="26"/>
      <c r="AL169" s="26"/>
      <c r="AM169" s="26"/>
      <c r="AN169" s="26"/>
      <c r="AO169" s="26"/>
      <c r="AP169" s="26"/>
      <c r="AQ169" s="26"/>
      <c r="AR169" s="26"/>
      <c r="AS169" s="26"/>
      <c r="AT169" s="26"/>
      <c r="AU169" s="26"/>
      <c r="AV169" s="26"/>
    </row>
    <row r="170" spans="1:48" ht="18" customHeight="1">
      <c r="A170" s="84"/>
      <c r="B170" s="91"/>
      <c r="C170" s="10" t="s">
        <v>57</v>
      </c>
      <c r="D170" s="3">
        <v>812</v>
      </c>
      <c r="E170" s="84"/>
      <c r="F170" s="87"/>
      <c r="G170" s="84"/>
      <c r="H170" s="84"/>
      <c r="I170" s="84"/>
      <c r="J170" s="87"/>
      <c r="K170" s="91"/>
      <c r="L170" s="84"/>
      <c r="M170" s="90"/>
      <c r="N170" s="3"/>
      <c r="O170" s="3"/>
      <c r="P170" s="3"/>
      <c r="Q170" s="3"/>
      <c r="R170" s="3"/>
      <c r="S170" s="3"/>
      <c r="T170" s="3">
        <v>52</v>
      </c>
      <c r="U170" s="3"/>
      <c r="V170" s="3"/>
      <c r="W170" s="3">
        <v>0</v>
      </c>
      <c r="X170" s="3"/>
      <c r="Y170" s="3"/>
      <c r="Z170" s="3">
        <v>0</v>
      </c>
      <c r="AA170" s="3"/>
      <c r="AB170" s="3"/>
      <c r="AC170" s="3">
        <v>0</v>
      </c>
      <c r="AD170" s="3"/>
      <c r="AE170" s="3"/>
      <c r="AF170" s="82"/>
      <c r="AG170" s="82"/>
      <c r="AH170" s="26"/>
      <c r="AI170" s="26"/>
      <c r="AJ170" s="26"/>
      <c r="AK170" s="26">
        <v>52</v>
      </c>
      <c r="AL170" s="26"/>
      <c r="AM170" s="26"/>
      <c r="AN170" s="26">
        <v>0</v>
      </c>
      <c r="AO170" s="26"/>
      <c r="AP170" s="26"/>
      <c r="AQ170" s="26">
        <v>0</v>
      </c>
      <c r="AR170" s="26"/>
      <c r="AS170" s="26"/>
      <c r="AT170" s="26">
        <v>0</v>
      </c>
      <c r="AU170" s="26"/>
      <c r="AV170" s="26"/>
    </row>
    <row r="171" spans="1:48" ht="19.5" customHeight="1">
      <c r="A171" s="84"/>
      <c r="B171" s="91"/>
      <c r="C171" s="10" t="s">
        <v>57</v>
      </c>
      <c r="D171" s="3">
        <v>814</v>
      </c>
      <c r="E171" s="84"/>
      <c r="F171" s="87"/>
      <c r="G171" s="84"/>
      <c r="H171" s="84"/>
      <c r="I171" s="84"/>
      <c r="J171" s="87"/>
      <c r="K171" s="91"/>
      <c r="L171" s="84"/>
      <c r="M171" s="90"/>
      <c r="N171" s="3">
        <f>51+969.1</f>
        <v>1020.1</v>
      </c>
      <c r="O171" s="3"/>
      <c r="P171" s="3"/>
      <c r="Q171" s="3">
        <f>51+969.1</f>
        <v>1020.1</v>
      </c>
      <c r="R171" s="3"/>
      <c r="S171" s="3"/>
      <c r="T171" s="3"/>
      <c r="U171" s="3"/>
      <c r="V171" s="3"/>
      <c r="W171" s="3"/>
      <c r="X171" s="3"/>
      <c r="Y171" s="3"/>
      <c r="Z171" s="3"/>
      <c r="AA171" s="3"/>
      <c r="AB171" s="3"/>
      <c r="AC171" s="3"/>
      <c r="AD171" s="3"/>
      <c r="AE171" s="3"/>
      <c r="AF171" s="82"/>
      <c r="AG171" s="82"/>
      <c r="AH171" s="26">
        <f>51+969.1</f>
        <v>1020.1</v>
      </c>
      <c r="AI171" s="26"/>
      <c r="AJ171" s="26"/>
      <c r="AK171" s="26"/>
      <c r="AL171" s="26"/>
      <c r="AM171" s="26"/>
      <c r="AN171" s="26"/>
      <c r="AO171" s="26"/>
      <c r="AP171" s="26"/>
      <c r="AQ171" s="26"/>
      <c r="AR171" s="26"/>
      <c r="AS171" s="26"/>
      <c r="AT171" s="26"/>
      <c r="AU171" s="26"/>
      <c r="AV171" s="26"/>
    </row>
    <row r="172" spans="1:48" ht="24" customHeight="1">
      <c r="A172" s="84"/>
      <c r="B172" s="91"/>
      <c r="C172" s="10" t="s">
        <v>74</v>
      </c>
      <c r="D172" s="3">
        <v>244</v>
      </c>
      <c r="E172" s="84"/>
      <c r="F172" s="87"/>
      <c r="G172" s="84"/>
      <c r="H172" s="84"/>
      <c r="I172" s="84"/>
      <c r="J172" s="87"/>
      <c r="K172" s="58" t="s">
        <v>140</v>
      </c>
      <c r="L172" s="58" t="s">
        <v>120</v>
      </c>
      <c r="M172" s="57" t="s">
        <v>126</v>
      </c>
      <c r="N172" s="14">
        <v>305</v>
      </c>
      <c r="O172" s="3"/>
      <c r="P172" s="3"/>
      <c r="Q172" s="3">
        <v>240.9</v>
      </c>
      <c r="R172" s="3"/>
      <c r="S172" s="3"/>
      <c r="T172" s="3">
        <v>305</v>
      </c>
      <c r="U172" s="3"/>
      <c r="V172" s="3"/>
      <c r="W172" s="3">
        <v>360</v>
      </c>
      <c r="X172" s="3"/>
      <c r="Y172" s="3"/>
      <c r="Z172" s="3">
        <v>400</v>
      </c>
      <c r="AA172" s="3"/>
      <c r="AB172" s="3"/>
      <c r="AC172" s="3">
        <v>400</v>
      </c>
      <c r="AD172" s="3"/>
      <c r="AE172" s="3"/>
      <c r="AF172" s="83"/>
      <c r="AG172" s="83"/>
      <c r="AH172" s="14">
        <v>305</v>
      </c>
      <c r="AI172" s="26"/>
      <c r="AJ172" s="26"/>
      <c r="AK172" s="26">
        <v>305</v>
      </c>
      <c r="AL172" s="26"/>
      <c r="AM172" s="26"/>
      <c r="AN172" s="26">
        <v>360</v>
      </c>
      <c r="AO172" s="26"/>
      <c r="AP172" s="26"/>
      <c r="AQ172" s="26">
        <v>400</v>
      </c>
      <c r="AR172" s="26"/>
      <c r="AS172" s="26"/>
      <c r="AT172" s="26">
        <v>400</v>
      </c>
      <c r="AU172" s="26"/>
      <c r="AV172" s="26"/>
    </row>
    <row r="173" spans="1:48" s="2" customFormat="1" ht="18" customHeight="1">
      <c r="A173" s="18"/>
      <c r="B173" s="4"/>
      <c r="C173" s="10"/>
      <c r="D173" s="3"/>
      <c r="E173" s="54"/>
      <c r="F173" s="53"/>
      <c r="G173" s="54"/>
      <c r="H173" s="54"/>
      <c r="I173" s="54"/>
      <c r="J173" s="53"/>
      <c r="K173" s="54"/>
      <c r="L173" s="54"/>
      <c r="M173" s="54"/>
      <c r="N173" s="14">
        <f>SUM(N174+N175+N176+N177+N178+N179+N180+N181)</f>
        <v>10989.3</v>
      </c>
      <c r="O173" s="3">
        <f aca="true" t="shared" si="48" ref="O173:AB173">SUM(O174+O175+O176+O177+O178+O179+O180+O181)</f>
        <v>366.2</v>
      </c>
      <c r="P173" s="3">
        <f t="shared" si="48"/>
        <v>7972.6</v>
      </c>
      <c r="Q173" s="3">
        <f t="shared" si="48"/>
        <v>10706.300000000001</v>
      </c>
      <c r="R173" s="3">
        <f t="shared" si="48"/>
        <v>366.20000000000005</v>
      </c>
      <c r="S173" s="3">
        <f t="shared" si="48"/>
        <v>7972.6</v>
      </c>
      <c r="T173" s="3">
        <f t="shared" si="48"/>
        <v>12700</v>
      </c>
      <c r="U173" s="3">
        <f t="shared" si="48"/>
        <v>120</v>
      </c>
      <c r="V173" s="3">
        <f t="shared" si="48"/>
        <v>7991</v>
      </c>
      <c r="W173" s="3">
        <f t="shared" si="48"/>
        <v>12499.7</v>
      </c>
      <c r="X173" s="3">
        <f t="shared" si="48"/>
        <v>233</v>
      </c>
      <c r="Y173" s="3">
        <f t="shared" si="48"/>
        <v>8535</v>
      </c>
      <c r="Z173" s="3">
        <f t="shared" si="48"/>
        <v>11858.5</v>
      </c>
      <c r="AA173" s="3">
        <f t="shared" si="48"/>
        <v>293</v>
      </c>
      <c r="AB173" s="3">
        <f t="shared" si="48"/>
        <v>8535</v>
      </c>
      <c r="AC173" s="3">
        <f>SUM(AC174+AC175+AC176+AC177+AC178+AC179+AC180+AC181)</f>
        <v>11858.5</v>
      </c>
      <c r="AD173" s="3">
        <f>SUM(AD174+AD175+AD176+AD177+AD178+AD179+AD180+AD181)</f>
        <v>293</v>
      </c>
      <c r="AE173" s="3">
        <f>SUM(AE174+AE175+AE176+AE177+AE178+AE179+AE180+AE181)</f>
        <v>8535</v>
      </c>
      <c r="AF173" s="12"/>
      <c r="AG173" s="58"/>
      <c r="AH173" s="14">
        <f>SUM(AH174+AH175+AH176+AH177+AH178+AH179+AH180+AH181)</f>
        <v>10989.3</v>
      </c>
      <c r="AI173" s="26">
        <f aca="true" t="shared" si="49" ref="AI173:AS173">SUM(AI174+AI175+AI176+AI177+AI178+AI179+AI180+AI181)</f>
        <v>366.2</v>
      </c>
      <c r="AJ173" s="26">
        <f t="shared" si="49"/>
        <v>7972.6</v>
      </c>
      <c r="AK173" s="26">
        <f t="shared" si="49"/>
        <v>12700</v>
      </c>
      <c r="AL173" s="26">
        <f t="shared" si="49"/>
        <v>120</v>
      </c>
      <c r="AM173" s="26">
        <f t="shared" si="49"/>
        <v>7991</v>
      </c>
      <c r="AN173" s="26">
        <f t="shared" si="49"/>
        <v>12499.7</v>
      </c>
      <c r="AO173" s="26">
        <f t="shared" si="49"/>
        <v>233</v>
      </c>
      <c r="AP173" s="26">
        <f t="shared" si="49"/>
        <v>8535</v>
      </c>
      <c r="AQ173" s="26">
        <f t="shared" si="49"/>
        <v>11858.5</v>
      </c>
      <c r="AR173" s="26">
        <f t="shared" si="49"/>
        <v>293</v>
      </c>
      <c r="AS173" s="26">
        <f t="shared" si="49"/>
        <v>8535</v>
      </c>
      <c r="AT173" s="26">
        <f>SUM(AT174+AT175+AT176+AT177+AT178+AT179+AT180+AT181)</f>
        <v>11858.5</v>
      </c>
      <c r="AU173" s="26">
        <f>SUM(AU174+AU175+AU176+AU177+AU178+AU179+AU180+AU181)</f>
        <v>293</v>
      </c>
      <c r="AV173" s="26">
        <f>SUM(AV174+AV175+AV176+AV177+AV178+AV179+AV180+AV181)</f>
        <v>8535</v>
      </c>
    </row>
    <row r="174" spans="1:48" ht="27.75" customHeight="1">
      <c r="A174" s="84" t="s">
        <v>67</v>
      </c>
      <c r="B174" s="91">
        <v>2139</v>
      </c>
      <c r="C174" s="10" t="s">
        <v>24</v>
      </c>
      <c r="D174" s="3">
        <v>111</v>
      </c>
      <c r="E174" s="84" t="s">
        <v>165</v>
      </c>
      <c r="F174" s="87" t="s">
        <v>219</v>
      </c>
      <c r="G174" s="84" t="s">
        <v>159</v>
      </c>
      <c r="H174" s="84" t="s">
        <v>220</v>
      </c>
      <c r="I174" s="84" t="s">
        <v>221</v>
      </c>
      <c r="J174" s="87" t="s">
        <v>222</v>
      </c>
      <c r="K174" s="84" t="s">
        <v>141</v>
      </c>
      <c r="L174" s="104" t="s">
        <v>120</v>
      </c>
      <c r="M174" s="90" t="s">
        <v>126</v>
      </c>
      <c r="N174" s="3">
        <v>6124.5</v>
      </c>
      <c r="O174" s="3"/>
      <c r="P174" s="3">
        <v>6124.5</v>
      </c>
      <c r="Q174" s="3">
        <v>6124.5</v>
      </c>
      <c r="R174" s="3"/>
      <c r="S174" s="3">
        <v>6124.5</v>
      </c>
      <c r="T174" s="3">
        <v>6200</v>
      </c>
      <c r="U174" s="3"/>
      <c r="V174" s="3">
        <v>6200</v>
      </c>
      <c r="W174" s="3">
        <v>6555.3</v>
      </c>
      <c r="X174" s="3"/>
      <c r="Y174" s="3">
        <v>6555.3</v>
      </c>
      <c r="Z174" s="3">
        <v>6555.3</v>
      </c>
      <c r="AA174" s="3"/>
      <c r="AB174" s="3">
        <v>6555.3</v>
      </c>
      <c r="AC174" s="3">
        <v>6555.3</v>
      </c>
      <c r="AD174" s="3"/>
      <c r="AE174" s="3">
        <v>6555.3</v>
      </c>
      <c r="AF174" s="81" t="s">
        <v>284</v>
      </c>
      <c r="AG174" s="81" t="s">
        <v>287</v>
      </c>
      <c r="AH174" s="26">
        <v>6124.5</v>
      </c>
      <c r="AI174" s="26"/>
      <c r="AJ174" s="26">
        <v>6124.5</v>
      </c>
      <c r="AK174" s="26">
        <v>6200</v>
      </c>
      <c r="AL174" s="26"/>
      <c r="AM174" s="26">
        <v>6200</v>
      </c>
      <c r="AN174" s="26">
        <v>6555.3</v>
      </c>
      <c r="AO174" s="26"/>
      <c r="AP174" s="26">
        <v>6555.3</v>
      </c>
      <c r="AQ174" s="26">
        <v>6555.3</v>
      </c>
      <c r="AR174" s="26"/>
      <c r="AS174" s="26">
        <v>6555.3</v>
      </c>
      <c r="AT174" s="26">
        <v>6555.3</v>
      </c>
      <c r="AU174" s="26"/>
      <c r="AV174" s="26">
        <v>6555.3</v>
      </c>
    </row>
    <row r="175" spans="1:48" ht="24" customHeight="1">
      <c r="A175" s="84"/>
      <c r="B175" s="91"/>
      <c r="C175" s="10" t="s">
        <v>24</v>
      </c>
      <c r="D175" s="3">
        <v>112</v>
      </c>
      <c r="E175" s="84"/>
      <c r="F175" s="87"/>
      <c r="G175" s="84"/>
      <c r="H175" s="84"/>
      <c r="I175" s="84"/>
      <c r="J175" s="87"/>
      <c r="K175" s="84"/>
      <c r="L175" s="104"/>
      <c r="M175" s="90"/>
      <c r="N175" s="3">
        <v>50.9</v>
      </c>
      <c r="O175" s="3"/>
      <c r="P175" s="3"/>
      <c r="Q175" s="3">
        <f>45.5</f>
        <v>45.5</v>
      </c>
      <c r="R175" s="3"/>
      <c r="S175" s="3"/>
      <c r="T175" s="3">
        <f>50.9</f>
        <v>50.9</v>
      </c>
      <c r="U175" s="3"/>
      <c r="V175" s="3"/>
      <c r="W175" s="3">
        <f>50.9</f>
        <v>50.9</v>
      </c>
      <c r="X175" s="3"/>
      <c r="Y175" s="3"/>
      <c r="Z175" s="3">
        <f>50.9</f>
        <v>50.9</v>
      </c>
      <c r="AA175" s="3"/>
      <c r="AB175" s="3"/>
      <c r="AC175" s="3">
        <f>50.9</f>
        <v>50.9</v>
      </c>
      <c r="AD175" s="3"/>
      <c r="AE175" s="3"/>
      <c r="AF175" s="82"/>
      <c r="AG175" s="82"/>
      <c r="AH175" s="26">
        <v>50.9</v>
      </c>
      <c r="AI175" s="26"/>
      <c r="AJ175" s="26"/>
      <c r="AK175" s="26">
        <f>50.9</f>
        <v>50.9</v>
      </c>
      <c r="AL175" s="26"/>
      <c r="AM175" s="26"/>
      <c r="AN175" s="26">
        <f>50.9</f>
        <v>50.9</v>
      </c>
      <c r="AO175" s="26"/>
      <c r="AP175" s="26"/>
      <c r="AQ175" s="26">
        <f>50.9</f>
        <v>50.9</v>
      </c>
      <c r="AR175" s="26"/>
      <c r="AS175" s="26"/>
      <c r="AT175" s="26">
        <f>50.9</f>
        <v>50.9</v>
      </c>
      <c r="AU175" s="26"/>
      <c r="AV175" s="26"/>
    </row>
    <row r="176" spans="1:48" ht="25.5" customHeight="1">
      <c r="A176" s="84"/>
      <c r="B176" s="91"/>
      <c r="C176" s="10" t="s">
        <v>24</v>
      </c>
      <c r="D176" s="3">
        <v>119</v>
      </c>
      <c r="E176" s="84"/>
      <c r="F176" s="87"/>
      <c r="G176" s="84"/>
      <c r="H176" s="84"/>
      <c r="I176" s="84"/>
      <c r="J176" s="87"/>
      <c r="K176" s="84"/>
      <c r="L176" s="104"/>
      <c r="M176" s="90"/>
      <c r="N176" s="3">
        <v>1848.1</v>
      </c>
      <c r="O176" s="3"/>
      <c r="P176" s="3">
        <v>1848.1</v>
      </c>
      <c r="Q176" s="3">
        <v>1848.1</v>
      </c>
      <c r="R176" s="3"/>
      <c r="S176" s="3">
        <v>1848.1</v>
      </c>
      <c r="T176" s="3">
        <v>1791</v>
      </c>
      <c r="U176" s="3"/>
      <c r="V176" s="3">
        <v>1791</v>
      </c>
      <c r="W176" s="3">
        <v>1979.7</v>
      </c>
      <c r="X176" s="3"/>
      <c r="Y176" s="3">
        <v>1979.7</v>
      </c>
      <c r="Z176" s="3">
        <v>1979.7</v>
      </c>
      <c r="AA176" s="3"/>
      <c r="AB176" s="3">
        <v>1979.7</v>
      </c>
      <c r="AC176" s="3">
        <v>1979.7</v>
      </c>
      <c r="AD176" s="3"/>
      <c r="AE176" s="3">
        <v>1979.7</v>
      </c>
      <c r="AF176" s="82"/>
      <c r="AG176" s="82"/>
      <c r="AH176" s="26">
        <v>1848.1</v>
      </c>
      <c r="AI176" s="26"/>
      <c r="AJ176" s="26">
        <v>1848.1</v>
      </c>
      <c r="AK176" s="26">
        <v>1791</v>
      </c>
      <c r="AL176" s="26"/>
      <c r="AM176" s="26">
        <v>1791</v>
      </c>
      <c r="AN176" s="26">
        <v>1979.7</v>
      </c>
      <c r="AO176" s="26"/>
      <c r="AP176" s="26">
        <v>1979.7</v>
      </c>
      <c r="AQ176" s="26">
        <v>1979.7</v>
      </c>
      <c r="AR176" s="26"/>
      <c r="AS176" s="26">
        <v>1979.7</v>
      </c>
      <c r="AT176" s="26">
        <v>1979.7</v>
      </c>
      <c r="AU176" s="26"/>
      <c r="AV176" s="26">
        <v>1979.7</v>
      </c>
    </row>
    <row r="177" spans="1:48" ht="22.5" customHeight="1">
      <c r="A177" s="84"/>
      <c r="B177" s="91"/>
      <c r="C177" s="10" t="s">
        <v>24</v>
      </c>
      <c r="D177" s="3">
        <v>244</v>
      </c>
      <c r="E177" s="84"/>
      <c r="F177" s="87"/>
      <c r="G177" s="84"/>
      <c r="H177" s="84"/>
      <c r="I177" s="84"/>
      <c r="J177" s="87"/>
      <c r="K177" s="84"/>
      <c r="L177" s="104"/>
      <c r="M177" s="90"/>
      <c r="N177" s="3">
        <f>62.6+80+19.5+75+95+30.5+35.9+40+30+20.4+40+40+20.4+40+10+1961.9+150+80</f>
        <v>2831.2</v>
      </c>
      <c r="O177" s="3">
        <f>62.6+80+35.9+40+147.7</f>
        <v>366.2</v>
      </c>
      <c r="P177" s="3"/>
      <c r="Q177" s="14">
        <f>62.6+80+19.5+75+95+30.5+35.9+39.9+30+20.4+40+40+20.4+40+1695.8+150+80</f>
        <v>2555</v>
      </c>
      <c r="R177" s="3">
        <f>62.6+80+35.9+39.9+147.8</f>
        <v>366.20000000000005</v>
      </c>
      <c r="S177" s="3"/>
      <c r="T177" s="3">
        <f>300+200+3653.9+300</f>
        <v>4453.9</v>
      </c>
      <c r="U177" s="3">
        <f>80+40</f>
        <v>120</v>
      </c>
      <c r="V177" s="3"/>
      <c r="W177" s="3">
        <f>300+250+2882.6+300</f>
        <v>3732.6</v>
      </c>
      <c r="X177" s="3">
        <f>80+50+103</f>
        <v>233</v>
      </c>
      <c r="Y177" s="3"/>
      <c r="Z177" s="3">
        <f>300+300+2191.4+300</f>
        <v>3091.4</v>
      </c>
      <c r="AA177" s="3">
        <f>80+70+143</f>
        <v>293</v>
      </c>
      <c r="AB177" s="3"/>
      <c r="AC177" s="3">
        <f>300+300+2191.4+300</f>
        <v>3091.4</v>
      </c>
      <c r="AD177" s="3">
        <f>80+70+143</f>
        <v>293</v>
      </c>
      <c r="AE177" s="3"/>
      <c r="AF177" s="82"/>
      <c r="AG177" s="82"/>
      <c r="AH177" s="26">
        <f>62.6+80+19.5+75+95+30.5+35.9+40+30+20.4+40+40+20.4+40+10+1961.9+150+80</f>
        <v>2831.2</v>
      </c>
      <c r="AI177" s="26">
        <f>62.6+80+35.9+40+147.7</f>
        <v>366.2</v>
      </c>
      <c r="AJ177" s="26"/>
      <c r="AK177" s="26">
        <f>300+200+3653.9+300</f>
        <v>4453.9</v>
      </c>
      <c r="AL177" s="26">
        <f>80+40</f>
        <v>120</v>
      </c>
      <c r="AM177" s="26"/>
      <c r="AN177" s="26">
        <f>300+250+2882.6+300</f>
        <v>3732.6</v>
      </c>
      <c r="AO177" s="26">
        <f>80+50+103</f>
        <v>233</v>
      </c>
      <c r="AP177" s="26"/>
      <c r="AQ177" s="26">
        <f>300+300+2191.4+300</f>
        <v>3091.4</v>
      </c>
      <c r="AR177" s="26">
        <f>80+70+143</f>
        <v>293</v>
      </c>
      <c r="AS177" s="26"/>
      <c r="AT177" s="26">
        <f>300+300+2191.4+300</f>
        <v>3091.4</v>
      </c>
      <c r="AU177" s="26">
        <f>80+70+143</f>
        <v>293</v>
      </c>
      <c r="AV177" s="26"/>
    </row>
    <row r="178" spans="1:48" ht="23.25" customHeight="1">
      <c r="A178" s="84"/>
      <c r="B178" s="91"/>
      <c r="C178" s="10" t="s">
        <v>24</v>
      </c>
      <c r="D178" s="3">
        <v>851</v>
      </c>
      <c r="E178" s="84"/>
      <c r="F178" s="87"/>
      <c r="G178" s="84"/>
      <c r="H178" s="84"/>
      <c r="I178" s="84"/>
      <c r="J178" s="87"/>
      <c r="K178" s="84"/>
      <c r="L178" s="104"/>
      <c r="M178" s="90"/>
      <c r="N178" s="3">
        <v>3.8</v>
      </c>
      <c r="O178" s="3"/>
      <c r="P178" s="3"/>
      <c r="Q178" s="3">
        <v>2.6</v>
      </c>
      <c r="R178" s="3"/>
      <c r="S178" s="3"/>
      <c r="T178" s="3">
        <f>4</f>
        <v>4</v>
      </c>
      <c r="U178" s="3"/>
      <c r="V178" s="3"/>
      <c r="W178" s="3">
        <f>4</f>
        <v>4</v>
      </c>
      <c r="X178" s="3"/>
      <c r="Y178" s="3"/>
      <c r="Z178" s="3">
        <f>4</f>
        <v>4</v>
      </c>
      <c r="AA178" s="3"/>
      <c r="AB178" s="3"/>
      <c r="AC178" s="3">
        <f>4</f>
        <v>4</v>
      </c>
      <c r="AD178" s="3"/>
      <c r="AE178" s="3"/>
      <c r="AF178" s="82"/>
      <c r="AG178" s="82"/>
      <c r="AH178" s="26">
        <v>3.8</v>
      </c>
      <c r="AI178" s="26"/>
      <c r="AJ178" s="26"/>
      <c r="AK178" s="26">
        <f>4</f>
        <v>4</v>
      </c>
      <c r="AL178" s="26"/>
      <c r="AM178" s="26"/>
      <c r="AN178" s="26">
        <f>4</f>
        <v>4</v>
      </c>
      <c r="AO178" s="26"/>
      <c r="AP178" s="26"/>
      <c r="AQ178" s="26">
        <f>4</f>
        <v>4</v>
      </c>
      <c r="AR178" s="26"/>
      <c r="AS178" s="26"/>
      <c r="AT178" s="26">
        <f>4</f>
        <v>4</v>
      </c>
      <c r="AU178" s="26"/>
      <c r="AV178" s="26"/>
    </row>
    <row r="179" spans="1:48" ht="21" customHeight="1">
      <c r="A179" s="84"/>
      <c r="B179" s="91"/>
      <c r="C179" s="10" t="s">
        <v>24</v>
      </c>
      <c r="D179" s="3">
        <v>852</v>
      </c>
      <c r="E179" s="84"/>
      <c r="F179" s="87"/>
      <c r="G179" s="84"/>
      <c r="H179" s="84"/>
      <c r="I179" s="84"/>
      <c r="J179" s="87"/>
      <c r="K179" s="84"/>
      <c r="L179" s="104"/>
      <c r="M179" s="90"/>
      <c r="N179" s="3">
        <v>8.9</v>
      </c>
      <c r="O179" s="3"/>
      <c r="P179" s="3"/>
      <c r="Q179" s="3">
        <v>8.9</v>
      </c>
      <c r="R179" s="3"/>
      <c r="S179" s="3"/>
      <c r="T179" s="3"/>
      <c r="U179" s="3"/>
      <c r="V179" s="3"/>
      <c r="W179" s="3"/>
      <c r="X179" s="3"/>
      <c r="Y179" s="3"/>
      <c r="Z179" s="3"/>
      <c r="AA179" s="3"/>
      <c r="AB179" s="3"/>
      <c r="AC179" s="3"/>
      <c r="AD179" s="3"/>
      <c r="AE179" s="3"/>
      <c r="AF179" s="82"/>
      <c r="AG179" s="82"/>
      <c r="AH179" s="26">
        <v>8.9</v>
      </c>
      <c r="AI179" s="26"/>
      <c r="AJ179" s="26"/>
      <c r="AK179" s="26"/>
      <c r="AL179" s="26"/>
      <c r="AM179" s="26"/>
      <c r="AN179" s="26"/>
      <c r="AO179" s="26"/>
      <c r="AP179" s="26"/>
      <c r="AQ179" s="26"/>
      <c r="AR179" s="26"/>
      <c r="AS179" s="26"/>
      <c r="AT179" s="26"/>
      <c r="AU179" s="26"/>
      <c r="AV179" s="26"/>
    </row>
    <row r="180" spans="1:48" ht="21" customHeight="1">
      <c r="A180" s="84"/>
      <c r="B180" s="91"/>
      <c r="C180" s="10" t="s">
        <v>24</v>
      </c>
      <c r="D180" s="3">
        <v>853</v>
      </c>
      <c r="E180" s="84"/>
      <c r="F180" s="87"/>
      <c r="G180" s="84"/>
      <c r="H180" s="84"/>
      <c r="I180" s="84"/>
      <c r="J180" s="87"/>
      <c r="K180" s="84"/>
      <c r="L180" s="104"/>
      <c r="M180" s="90"/>
      <c r="N180" s="3">
        <v>1.9</v>
      </c>
      <c r="O180" s="3"/>
      <c r="P180" s="3"/>
      <c r="Q180" s="3">
        <v>1.7</v>
      </c>
      <c r="R180" s="3"/>
      <c r="S180" s="3"/>
      <c r="T180" s="3">
        <f>0.2</f>
        <v>0.2</v>
      </c>
      <c r="U180" s="3"/>
      <c r="V180" s="3"/>
      <c r="W180" s="3">
        <f>0.2</f>
        <v>0.2</v>
      </c>
      <c r="X180" s="3"/>
      <c r="Y180" s="3"/>
      <c r="Z180" s="3">
        <f>0.2</f>
        <v>0.2</v>
      </c>
      <c r="AA180" s="3"/>
      <c r="AB180" s="3"/>
      <c r="AC180" s="3">
        <f>0.2</f>
        <v>0.2</v>
      </c>
      <c r="AD180" s="3"/>
      <c r="AE180" s="3"/>
      <c r="AF180" s="82"/>
      <c r="AG180" s="82"/>
      <c r="AH180" s="26">
        <v>1.9</v>
      </c>
      <c r="AI180" s="26"/>
      <c r="AJ180" s="26"/>
      <c r="AK180" s="26">
        <f>0.2</f>
        <v>0.2</v>
      </c>
      <c r="AL180" s="26"/>
      <c r="AM180" s="26"/>
      <c r="AN180" s="26">
        <f>0.2</f>
        <v>0.2</v>
      </c>
      <c r="AO180" s="26"/>
      <c r="AP180" s="26"/>
      <c r="AQ180" s="26">
        <f>0.2</f>
        <v>0.2</v>
      </c>
      <c r="AR180" s="26"/>
      <c r="AS180" s="26"/>
      <c r="AT180" s="26">
        <f>0.2</f>
        <v>0.2</v>
      </c>
      <c r="AU180" s="26"/>
      <c r="AV180" s="26"/>
    </row>
    <row r="181" spans="1:48" s="2" customFormat="1" ht="18.75" customHeight="1">
      <c r="A181" s="84"/>
      <c r="B181" s="91"/>
      <c r="C181" s="10" t="s">
        <v>35</v>
      </c>
      <c r="D181" s="3">
        <v>244</v>
      </c>
      <c r="E181" s="84"/>
      <c r="F181" s="87"/>
      <c r="G181" s="84"/>
      <c r="H181" s="84"/>
      <c r="I181" s="84"/>
      <c r="J181" s="87"/>
      <c r="K181" s="84"/>
      <c r="L181" s="104"/>
      <c r="M181" s="90"/>
      <c r="N181" s="14">
        <f>100+20</f>
        <v>120</v>
      </c>
      <c r="O181" s="3"/>
      <c r="P181" s="3"/>
      <c r="Q181" s="14">
        <f>100+20</f>
        <v>120</v>
      </c>
      <c r="R181" s="3"/>
      <c r="S181" s="3"/>
      <c r="T181" s="3">
        <v>200</v>
      </c>
      <c r="U181" s="3"/>
      <c r="V181" s="3"/>
      <c r="W181" s="3">
        <v>177</v>
      </c>
      <c r="X181" s="3"/>
      <c r="Y181" s="3"/>
      <c r="Z181" s="3">
        <v>177</v>
      </c>
      <c r="AA181" s="3"/>
      <c r="AB181" s="3"/>
      <c r="AC181" s="3">
        <v>177</v>
      </c>
      <c r="AD181" s="3"/>
      <c r="AE181" s="3"/>
      <c r="AF181" s="83"/>
      <c r="AG181" s="83"/>
      <c r="AH181" s="14">
        <f>100+20</f>
        <v>120</v>
      </c>
      <c r="AI181" s="26"/>
      <c r="AJ181" s="26"/>
      <c r="AK181" s="26">
        <v>200</v>
      </c>
      <c r="AL181" s="26"/>
      <c r="AM181" s="26"/>
      <c r="AN181" s="26">
        <v>177</v>
      </c>
      <c r="AO181" s="26"/>
      <c r="AP181" s="26"/>
      <c r="AQ181" s="26">
        <v>177</v>
      </c>
      <c r="AR181" s="26"/>
      <c r="AS181" s="26"/>
      <c r="AT181" s="26">
        <v>177</v>
      </c>
      <c r="AU181" s="26"/>
      <c r="AV181" s="26"/>
    </row>
    <row r="182" spans="1:48" s="2" customFormat="1" ht="18.75" customHeight="1">
      <c r="A182" s="18"/>
      <c r="B182" s="4"/>
      <c r="C182" s="10"/>
      <c r="D182" s="3"/>
      <c r="E182" s="54"/>
      <c r="F182" s="53"/>
      <c r="G182" s="54"/>
      <c r="H182" s="54"/>
      <c r="I182" s="54"/>
      <c r="J182" s="53"/>
      <c r="K182" s="54"/>
      <c r="L182" s="56"/>
      <c r="M182" s="53"/>
      <c r="N182" s="14">
        <f>SUM(N183+N184+N185)</f>
        <v>300</v>
      </c>
      <c r="O182" s="3">
        <f aca="true" t="shared" si="50" ref="O182:AB182">SUM(O183+O184+O185)</f>
        <v>0</v>
      </c>
      <c r="P182" s="3">
        <f t="shared" si="50"/>
        <v>0</v>
      </c>
      <c r="Q182" s="3">
        <f t="shared" si="50"/>
        <v>300</v>
      </c>
      <c r="R182" s="3">
        <f t="shared" si="50"/>
        <v>0</v>
      </c>
      <c r="S182" s="3">
        <f t="shared" si="50"/>
        <v>0</v>
      </c>
      <c r="T182" s="3">
        <f t="shared" si="50"/>
        <v>400</v>
      </c>
      <c r="U182" s="3">
        <f t="shared" si="50"/>
        <v>0</v>
      </c>
      <c r="V182" s="3">
        <f t="shared" si="50"/>
        <v>0</v>
      </c>
      <c r="W182" s="3">
        <f t="shared" si="50"/>
        <v>500</v>
      </c>
      <c r="X182" s="3">
        <f t="shared" si="50"/>
        <v>0</v>
      </c>
      <c r="Y182" s="3">
        <f t="shared" si="50"/>
        <v>0</v>
      </c>
      <c r="Z182" s="3">
        <f t="shared" si="50"/>
        <v>500</v>
      </c>
      <c r="AA182" s="3">
        <f t="shared" si="50"/>
        <v>0</v>
      </c>
      <c r="AB182" s="3">
        <f t="shared" si="50"/>
        <v>0</v>
      </c>
      <c r="AC182" s="3">
        <f>SUM(AC183+AC184+AC185)</f>
        <v>500</v>
      </c>
      <c r="AD182" s="3">
        <f>SUM(AD183+AD184+AD185)</f>
        <v>0</v>
      </c>
      <c r="AE182" s="3">
        <f>SUM(AE183+AE184+AE185)</f>
        <v>0</v>
      </c>
      <c r="AF182" s="12"/>
      <c r="AG182" s="58"/>
      <c r="AH182" s="14">
        <f>SUM(AH183+AH184+AH185)</f>
        <v>300</v>
      </c>
      <c r="AI182" s="26">
        <f aca="true" t="shared" si="51" ref="AI182:AS182">SUM(AI183+AI184+AI185)</f>
        <v>0</v>
      </c>
      <c r="AJ182" s="26">
        <f t="shared" si="51"/>
        <v>0</v>
      </c>
      <c r="AK182" s="26">
        <f t="shared" si="51"/>
        <v>400</v>
      </c>
      <c r="AL182" s="26">
        <f t="shared" si="51"/>
        <v>0</v>
      </c>
      <c r="AM182" s="26">
        <f t="shared" si="51"/>
        <v>0</v>
      </c>
      <c r="AN182" s="26">
        <f t="shared" si="51"/>
        <v>500</v>
      </c>
      <c r="AO182" s="26">
        <f t="shared" si="51"/>
        <v>0</v>
      </c>
      <c r="AP182" s="26">
        <f t="shared" si="51"/>
        <v>0</v>
      </c>
      <c r="AQ182" s="26">
        <f t="shared" si="51"/>
        <v>500</v>
      </c>
      <c r="AR182" s="26">
        <f t="shared" si="51"/>
        <v>0</v>
      </c>
      <c r="AS182" s="26">
        <f t="shared" si="51"/>
        <v>0</v>
      </c>
      <c r="AT182" s="26">
        <f>SUM(AT183+AT184+AT185)</f>
        <v>500</v>
      </c>
      <c r="AU182" s="26">
        <f>SUM(AU183+AU184+AU185)</f>
        <v>0</v>
      </c>
      <c r="AV182" s="26">
        <f>SUM(AV183+AV184+AV185)</f>
        <v>0</v>
      </c>
    </row>
    <row r="183" spans="1:48" ht="20.25" customHeight="1">
      <c r="A183" s="84" t="s">
        <v>47</v>
      </c>
      <c r="B183" s="91">
        <v>2141</v>
      </c>
      <c r="C183" s="10" t="s">
        <v>46</v>
      </c>
      <c r="D183" s="3">
        <v>630</v>
      </c>
      <c r="E183" s="84" t="s">
        <v>165</v>
      </c>
      <c r="F183" s="87" t="s">
        <v>223</v>
      </c>
      <c r="G183" s="84" t="s">
        <v>159</v>
      </c>
      <c r="H183" s="84"/>
      <c r="I183" s="84"/>
      <c r="J183" s="87"/>
      <c r="K183" s="84" t="s">
        <v>142</v>
      </c>
      <c r="L183" s="105" t="s">
        <v>120</v>
      </c>
      <c r="M183" s="87" t="s">
        <v>126</v>
      </c>
      <c r="N183" s="3"/>
      <c r="O183" s="3"/>
      <c r="P183" s="3"/>
      <c r="Q183" s="3"/>
      <c r="R183" s="3"/>
      <c r="S183" s="3"/>
      <c r="T183" s="3"/>
      <c r="U183" s="3"/>
      <c r="V183" s="3"/>
      <c r="W183" s="3"/>
      <c r="X183" s="3"/>
      <c r="Y183" s="3"/>
      <c r="Z183" s="3"/>
      <c r="AA183" s="3"/>
      <c r="AB183" s="3"/>
      <c r="AC183" s="3"/>
      <c r="AD183" s="3"/>
      <c r="AE183" s="3"/>
      <c r="AF183" s="81" t="s">
        <v>284</v>
      </c>
      <c r="AG183" s="81" t="s">
        <v>287</v>
      </c>
      <c r="AH183" s="26"/>
      <c r="AI183" s="26"/>
      <c r="AJ183" s="26"/>
      <c r="AK183" s="26"/>
      <c r="AL183" s="26"/>
      <c r="AM183" s="26"/>
      <c r="AN183" s="26"/>
      <c r="AO183" s="26"/>
      <c r="AP183" s="26"/>
      <c r="AQ183" s="26"/>
      <c r="AR183" s="26"/>
      <c r="AS183" s="26"/>
      <c r="AT183" s="26"/>
      <c r="AU183" s="26"/>
      <c r="AV183" s="26"/>
    </row>
    <row r="184" spans="1:48" ht="23.25" customHeight="1">
      <c r="A184" s="84"/>
      <c r="B184" s="91"/>
      <c r="C184" s="10" t="s">
        <v>46</v>
      </c>
      <c r="D184" s="3">
        <v>632</v>
      </c>
      <c r="E184" s="84"/>
      <c r="F184" s="87"/>
      <c r="G184" s="84"/>
      <c r="H184" s="84"/>
      <c r="I184" s="84"/>
      <c r="J184" s="87"/>
      <c r="K184" s="84"/>
      <c r="L184" s="105"/>
      <c r="M184" s="87"/>
      <c r="N184" s="3"/>
      <c r="O184" s="3"/>
      <c r="P184" s="3"/>
      <c r="Q184" s="3"/>
      <c r="R184" s="3"/>
      <c r="S184" s="3"/>
      <c r="T184" s="3">
        <v>400</v>
      </c>
      <c r="U184" s="3"/>
      <c r="V184" s="3"/>
      <c r="W184" s="3">
        <f>500</f>
        <v>500</v>
      </c>
      <c r="X184" s="3"/>
      <c r="Y184" s="3"/>
      <c r="Z184" s="3">
        <f>500</f>
        <v>500</v>
      </c>
      <c r="AA184" s="3"/>
      <c r="AB184" s="3"/>
      <c r="AC184" s="3">
        <f>500</f>
        <v>500</v>
      </c>
      <c r="AD184" s="3"/>
      <c r="AE184" s="3"/>
      <c r="AF184" s="82"/>
      <c r="AG184" s="82"/>
      <c r="AH184" s="26"/>
      <c r="AI184" s="26"/>
      <c r="AJ184" s="26"/>
      <c r="AK184" s="26">
        <v>400</v>
      </c>
      <c r="AL184" s="26"/>
      <c r="AM184" s="26"/>
      <c r="AN184" s="26">
        <f>500</f>
        <v>500</v>
      </c>
      <c r="AO184" s="26"/>
      <c r="AP184" s="26"/>
      <c r="AQ184" s="26">
        <f>500</f>
        <v>500</v>
      </c>
      <c r="AR184" s="26"/>
      <c r="AS184" s="26"/>
      <c r="AT184" s="26">
        <f>500</f>
        <v>500</v>
      </c>
      <c r="AU184" s="26"/>
      <c r="AV184" s="26"/>
    </row>
    <row r="185" spans="1:48" ht="21" customHeight="1">
      <c r="A185" s="84"/>
      <c r="B185" s="91"/>
      <c r="C185" s="10" t="s">
        <v>46</v>
      </c>
      <c r="D185" s="3">
        <v>634</v>
      </c>
      <c r="E185" s="84"/>
      <c r="F185" s="87"/>
      <c r="G185" s="84"/>
      <c r="H185" s="84"/>
      <c r="I185" s="84"/>
      <c r="J185" s="87"/>
      <c r="K185" s="84"/>
      <c r="L185" s="105"/>
      <c r="M185" s="87"/>
      <c r="N185" s="14">
        <v>300</v>
      </c>
      <c r="O185" s="3"/>
      <c r="P185" s="3"/>
      <c r="Q185" s="14">
        <v>300</v>
      </c>
      <c r="R185" s="3"/>
      <c r="S185" s="3"/>
      <c r="T185" s="3"/>
      <c r="U185" s="3"/>
      <c r="V185" s="3"/>
      <c r="W185" s="3"/>
      <c r="X185" s="3"/>
      <c r="Y185" s="3"/>
      <c r="Z185" s="3"/>
      <c r="AA185" s="3"/>
      <c r="AB185" s="3"/>
      <c r="AC185" s="3"/>
      <c r="AD185" s="3"/>
      <c r="AE185" s="3"/>
      <c r="AF185" s="83"/>
      <c r="AG185" s="83"/>
      <c r="AH185" s="14">
        <v>300</v>
      </c>
      <c r="AI185" s="26"/>
      <c r="AJ185" s="26"/>
      <c r="AK185" s="26"/>
      <c r="AL185" s="26"/>
      <c r="AM185" s="26"/>
      <c r="AN185" s="26"/>
      <c r="AO185" s="26"/>
      <c r="AP185" s="26"/>
      <c r="AQ185" s="26"/>
      <c r="AR185" s="26"/>
      <c r="AS185" s="26"/>
      <c r="AT185" s="26"/>
      <c r="AU185" s="26"/>
      <c r="AV185" s="26"/>
    </row>
    <row r="186" spans="1:48" s="2" customFormat="1" ht="18" customHeight="1">
      <c r="A186" s="18"/>
      <c r="B186" s="4"/>
      <c r="C186" s="10"/>
      <c r="D186" s="3"/>
      <c r="E186" s="54"/>
      <c r="F186" s="53"/>
      <c r="G186" s="54"/>
      <c r="H186" s="54"/>
      <c r="I186" s="54"/>
      <c r="J186" s="53"/>
      <c r="K186" s="54"/>
      <c r="L186" s="56"/>
      <c r="M186" s="53"/>
      <c r="N186" s="3">
        <f>SUM(N187)</f>
        <v>0</v>
      </c>
      <c r="O186" s="3">
        <f aca="true" t="shared" si="52" ref="O186:AE186">SUM(O187)</f>
        <v>0</v>
      </c>
      <c r="P186" s="3">
        <f t="shared" si="52"/>
        <v>0</v>
      </c>
      <c r="Q186" s="3">
        <f t="shared" si="52"/>
        <v>0</v>
      </c>
      <c r="R186" s="3">
        <f t="shared" si="52"/>
        <v>0</v>
      </c>
      <c r="S186" s="3">
        <f t="shared" si="52"/>
        <v>0</v>
      </c>
      <c r="T186" s="3">
        <f t="shared" si="52"/>
        <v>500</v>
      </c>
      <c r="U186" s="3">
        <f t="shared" si="52"/>
        <v>0</v>
      </c>
      <c r="V186" s="3">
        <f t="shared" si="52"/>
        <v>0</v>
      </c>
      <c r="W186" s="3">
        <f t="shared" si="52"/>
        <v>500</v>
      </c>
      <c r="X186" s="3">
        <f t="shared" si="52"/>
        <v>0</v>
      </c>
      <c r="Y186" s="3">
        <f t="shared" si="52"/>
        <v>0</v>
      </c>
      <c r="Z186" s="3">
        <f t="shared" si="52"/>
        <v>500</v>
      </c>
      <c r="AA186" s="3">
        <f t="shared" si="52"/>
        <v>0</v>
      </c>
      <c r="AB186" s="3">
        <f t="shared" si="52"/>
        <v>0</v>
      </c>
      <c r="AC186" s="3">
        <f t="shared" si="52"/>
        <v>500</v>
      </c>
      <c r="AD186" s="3">
        <f t="shared" si="52"/>
        <v>0</v>
      </c>
      <c r="AE186" s="3">
        <f t="shared" si="52"/>
        <v>0</v>
      </c>
      <c r="AF186" s="12"/>
      <c r="AG186" s="58"/>
      <c r="AH186" s="26">
        <f>SUM(AH187)</f>
        <v>0</v>
      </c>
      <c r="AI186" s="26">
        <f aca="true" t="shared" si="53" ref="AI186:AV186">SUM(AI187)</f>
        <v>0</v>
      </c>
      <c r="AJ186" s="26">
        <f t="shared" si="53"/>
        <v>0</v>
      </c>
      <c r="AK186" s="26">
        <f t="shared" si="53"/>
        <v>500</v>
      </c>
      <c r="AL186" s="26">
        <f t="shared" si="53"/>
        <v>0</v>
      </c>
      <c r="AM186" s="26">
        <f t="shared" si="53"/>
        <v>0</v>
      </c>
      <c r="AN186" s="26">
        <f t="shared" si="53"/>
        <v>500</v>
      </c>
      <c r="AO186" s="26">
        <f t="shared" si="53"/>
        <v>0</v>
      </c>
      <c r="AP186" s="26">
        <f t="shared" si="53"/>
        <v>0</v>
      </c>
      <c r="AQ186" s="26">
        <f t="shared" si="53"/>
        <v>500</v>
      </c>
      <c r="AR186" s="26">
        <f t="shared" si="53"/>
        <v>0</v>
      </c>
      <c r="AS186" s="26">
        <f t="shared" si="53"/>
        <v>0</v>
      </c>
      <c r="AT186" s="26">
        <f t="shared" si="53"/>
        <v>500</v>
      </c>
      <c r="AU186" s="26">
        <f t="shared" si="53"/>
        <v>0</v>
      </c>
      <c r="AV186" s="26">
        <f t="shared" si="53"/>
        <v>0</v>
      </c>
    </row>
    <row r="187" spans="1:48" ht="37.5" customHeight="1">
      <c r="A187" s="36" t="s">
        <v>80</v>
      </c>
      <c r="B187" s="4">
        <v>2142</v>
      </c>
      <c r="C187" s="10" t="s">
        <v>81</v>
      </c>
      <c r="D187" s="3">
        <v>244</v>
      </c>
      <c r="E187" s="52" t="s">
        <v>165</v>
      </c>
      <c r="F187" s="7" t="s">
        <v>224</v>
      </c>
      <c r="G187" s="52" t="s">
        <v>159</v>
      </c>
      <c r="H187" s="52"/>
      <c r="I187" s="52"/>
      <c r="J187" s="7"/>
      <c r="K187" s="52" t="s">
        <v>143</v>
      </c>
      <c r="L187" s="11" t="s">
        <v>120</v>
      </c>
      <c r="M187" s="7" t="s">
        <v>126</v>
      </c>
      <c r="N187" s="3"/>
      <c r="O187" s="3"/>
      <c r="P187" s="3"/>
      <c r="Q187" s="3"/>
      <c r="R187" s="3"/>
      <c r="S187" s="3"/>
      <c r="T187" s="3">
        <v>500</v>
      </c>
      <c r="U187" s="3"/>
      <c r="V187" s="3"/>
      <c r="W187" s="3">
        <v>500</v>
      </c>
      <c r="X187" s="3"/>
      <c r="Y187" s="3"/>
      <c r="Z187" s="3">
        <v>500</v>
      </c>
      <c r="AA187" s="3"/>
      <c r="AB187" s="3"/>
      <c r="AC187" s="3">
        <v>500</v>
      </c>
      <c r="AD187" s="3"/>
      <c r="AE187" s="3"/>
      <c r="AF187" s="46" t="s">
        <v>284</v>
      </c>
      <c r="AG187" s="81" t="s">
        <v>287</v>
      </c>
      <c r="AH187" s="26"/>
      <c r="AI187" s="26"/>
      <c r="AJ187" s="26"/>
      <c r="AK187" s="26">
        <v>500</v>
      </c>
      <c r="AL187" s="26"/>
      <c r="AM187" s="26"/>
      <c r="AN187" s="26">
        <v>500</v>
      </c>
      <c r="AO187" s="26"/>
      <c r="AP187" s="26"/>
      <c r="AQ187" s="26">
        <v>500</v>
      </c>
      <c r="AR187" s="26"/>
      <c r="AS187" s="26"/>
      <c r="AT187" s="26">
        <v>500</v>
      </c>
      <c r="AU187" s="26"/>
      <c r="AV187" s="26"/>
    </row>
    <row r="188" spans="1:48" s="2" customFormat="1" ht="49.5" customHeight="1">
      <c r="A188" s="20" t="s">
        <v>117</v>
      </c>
      <c r="B188" s="4">
        <v>2145</v>
      </c>
      <c r="C188" s="10" t="s">
        <v>57</v>
      </c>
      <c r="D188" s="3">
        <v>244</v>
      </c>
      <c r="E188" s="52" t="s">
        <v>165</v>
      </c>
      <c r="F188" s="7" t="s">
        <v>225</v>
      </c>
      <c r="G188" s="52" t="s">
        <v>159</v>
      </c>
      <c r="H188" s="52"/>
      <c r="I188" s="52"/>
      <c r="J188" s="7"/>
      <c r="K188" s="52" t="s">
        <v>144</v>
      </c>
      <c r="L188" s="11" t="s">
        <v>120</v>
      </c>
      <c r="M188" s="7" t="s">
        <v>126</v>
      </c>
      <c r="N188" s="3">
        <v>747.8</v>
      </c>
      <c r="O188" s="3"/>
      <c r="P188" s="3"/>
      <c r="Q188" s="3">
        <v>532.6</v>
      </c>
      <c r="R188" s="3"/>
      <c r="S188" s="3"/>
      <c r="T188" s="3">
        <v>300</v>
      </c>
      <c r="U188" s="3"/>
      <c r="V188" s="3"/>
      <c r="W188" s="3">
        <v>350</v>
      </c>
      <c r="X188" s="3"/>
      <c r="Y188" s="3"/>
      <c r="Z188" s="3">
        <v>250</v>
      </c>
      <c r="AA188" s="3"/>
      <c r="AB188" s="3"/>
      <c r="AC188" s="3">
        <v>250</v>
      </c>
      <c r="AD188" s="3"/>
      <c r="AE188" s="3"/>
      <c r="AF188" s="46" t="s">
        <v>284</v>
      </c>
      <c r="AG188" s="82"/>
      <c r="AH188" s="26">
        <v>747.8</v>
      </c>
      <c r="AI188" s="26"/>
      <c r="AJ188" s="26"/>
      <c r="AK188" s="26">
        <v>300</v>
      </c>
      <c r="AL188" s="26"/>
      <c r="AM188" s="26"/>
      <c r="AN188" s="26">
        <v>350</v>
      </c>
      <c r="AO188" s="26"/>
      <c r="AP188" s="26"/>
      <c r="AQ188" s="26">
        <v>250</v>
      </c>
      <c r="AR188" s="26"/>
      <c r="AS188" s="26"/>
      <c r="AT188" s="26">
        <v>250</v>
      </c>
      <c r="AU188" s="26"/>
      <c r="AV188" s="26"/>
    </row>
    <row r="189" spans="1:48" ht="96.75" customHeight="1">
      <c r="A189" s="12" t="s">
        <v>10</v>
      </c>
      <c r="B189" s="4">
        <v>2200</v>
      </c>
      <c r="C189" s="37"/>
      <c r="D189" s="3"/>
      <c r="E189" s="52"/>
      <c r="F189" s="52"/>
      <c r="G189" s="52"/>
      <c r="H189" s="52"/>
      <c r="I189" s="52"/>
      <c r="J189" s="52"/>
      <c r="K189" s="52"/>
      <c r="L189" s="52"/>
      <c r="M189" s="52"/>
      <c r="N189" s="14">
        <f>SUM(N190++N218+N224+N240+N243+N245+N249+N257+N217)</f>
        <v>97843.99999999999</v>
      </c>
      <c r="O189" s="3">
        <f aca="true" t="shared" si="54" ref="O189:AB189">SUM(O190++O218+O224+O240+O243+O245+O249+O257+O217)</f>
        <v>2934.6</v>
      </c>
      <c r="P189" s="3">
        <f t="shared" si="54"/>
        <v>61885.100000000006</v>
      </c>
      <c r="Q189" s="3">
        <f t="shared" si="54"/>
        <v>96685.80000000002</v>
      </c>
      <c r="R189" s="3">
        <f t="shared" si="54"/>
        <v>2895.3</v>
      </c>
      <c r="S189" s="3">
        <f t="shared" si="54"/>
        <v>61777.100000000006</v>
      </c>
      <c r="T189" s="3">
        <f>SUM(T190++T218+T224+T240+T243+T245+T249+T257+T217)</f>
        <v>89496.79999999999</v>
      </c>
      <c r="U189" s="3">
        <f t="shared" si="54"/>
        <v>2642.2</v>
      </c>
      <c r="V189" s="3">
        <f t="shared" si="54"/>
        <v>64789.09999999999</v>
      </c>
      <c r="W189" s="3">
        <f t="shared" si="54"/>
        <v>97336.3</v>
      </c>
      <c r="X189" s="3">
        <f t="shared" si="54"/>
        <v>3066.3</v>
      </c>
      <c r="Y189" s="3">
        <f t="shared" si="54"/>
        <v>70360.6</v>
      </c>
      <c r="Z189" s="3">
        <f t="shared" si="54"/>
        <v>97303.7</v>
      </c>
      <c r="AA189" s="3">
        <f t="shared" si="54"/>
        <v>3066.3</v>
      </c>
      <c r="AB189" s="3">
        <f t="shared" si="54"/>
        <v>70360.6</v>
      </c>
      <c r="AC189" s="3">
        <f>SUM(AC190++AC218+AC224+AC240+AC243+AC245+AC249+AC257+AC217)</f>
        <v>97303.7</v>
      </c>
      <c r="AD189" s="3">
        <f>SUM(AD190++AD218+AD224+AD240+AD243+AD245+AD249+AD257+AD217)</f>
        <v>3066.3</v>
      </c>
      <c r="AE189" s="3">
        <f>SUM(AE190++AE218+AE224+AE240+AE243+AE245+AE249+AE257+AE217)</f>
        <v>70360.6</v>
      </c>
      <c r="AF189" s="12"/>
      <c r="AG189" s="83"/>
      <c r="AH189" s="14">
        <f>SUM(AH190++AH218+AH224+AH240+AH243+AH245+AH249+AH257+AH217)</f>
        <v>97843.99999999999</v>
      </c>
      <c r="AI189" s="26">
        <f>SUM(AI190++AI218+AI224+AI240+AI243+AI245+AI249+AI257+AI217)</f>
        <v>2934.6</v>
      </c>
      <c r="AJ189" s="26">
        <f>SUM(AJ190++AJ218+AJ224+AJ240+AJ243+AJ245+AJ249+AJ257+AJ217)</f>
        <v>61885.100000000006</v>
      </c>
      <c r="AK189" s="26">
        <f>SUM(AK190++AK218+AK224+AK240+AK243+AK245+AK249+AK257+AK217)</f>
        <v>89496.79999999999</v>
      </c>
      <c r="AL189" s="26">
        <f aca="true" t="shared" si="55" ref="AL189:AS189">SUM(AL190++AL218+AL224+AL240+AL243+AL245+AL249+AL257+AL217)</f>
        <v>2642.2</v>
      </c>
      <c r="AM189" s="26">
        <f t="shared" si="55"/>
        <v>64789.09999999999</v>
      </c>
      <c r="AN189" s="26">
        <f t="shared" si="55"/>
        <v>97336.3</v>
      </c>
      <c r="AO189" s="26">
        <f t="shared" si="55"/>
        <v>3066.3</v>
      </c>
      <c r="AP189" s="26">
        <f t="shared" si="55"/>
        <v>70360.6</v>
      </c>
      <c r="AQ189" s="26">
        <f t="shared" si="55"/>
        <v>97303.7</v>
      </c>
      <c r="AR189" s="26">
        <f t="shared" si="55"/>
        <v>3066.3</v>
      </c>
      <c r="AS189" s="26">
        <f t="shared" si="55"/>
        <v>70360.6</v>
      </c>
      <c r="AT189" s="26">
        <f>SUM(AT190++AT218+AT224+AT240+AT243+AT245+AT249+AT257+AT217)</f>
        <v>97303.7</v>
      </c>
      <c r="AU189" s="26">
        <f>SUM(AU190++AU218+AU224+AU240+AU243+AU245+AU249+AU257+AU217)</f>
        <v>3066.3</v>
      </c>
      <c r="AV189" s="26">
        <f>SUM(AV190++AV218+AV224+AV240+AV243+AV245+AV249+AV257+AV217)</f>
        <v>70360.6</v>
      </c>
    </row>
    <row r="190" spans="1:48" s="2" customFormat="1" ht="16.5" customHeight="1">
      <c r="A190" s="12"/>
      <c r="B190" s="4"/>
      <c r="C190" s="37"/>
      <c r="D190" s="3"/>
      <c r="E190" s="52"/>
      <c r="F190" s="52"/>
      <c r="G190" s="52"/>
      <c r="H190" s="52"/>
      <c r="I190" s="52"/>
      <c r="J190" s="52"/>
      <c r="K190" s="52"/>
      <c r="L190" s="52"/>
      <c r="M190" s="52"/>
      <c r="N190" s="3">
        <f>SUM(N191:N216)</f>
        <v>42285.4</v>
      </c>
      <c r="O190" s="3">
        <f aca="true" t="shared" si="56" ref="O190:AB190">SUM(O191:O216)</f>
        <v>0</v>
      </c>
      <c r="P190" s="3">
        <f t="shared" si="56"/>
        <v>32446.800000000003</v>
      </c>
      <c r="Q190" s="3">
        <f t="shared" si="56"/>
        <v>42110.100000000006</v>
      </c>
      <c r="R190" s="3">
        <f t="shared" si="56"/>
        <v>0</v>
      </c>
      <c r="S190" s="3">
        <f t="shared" si="56"/>
        <v>32446.800000000003</v>
      </c>
      <c r="T190" s="3">
        <f t="shared" si="56"/>
        <v>45934.299999999996</v>
      </c>
      <c r="U190" s="3">
        <f t="shared" si="56"/>
        <v>100</v>
      </c>
      <c r="V190" s="3">
        <f t="shared" si="56"/>
        <v>35313.799999999996</v>
      </c>
      <c r="W190" s="3">
        <f t="shared" si="56"/>
        <v>49809.7</v>
      </c>
      <c r="X190" s="3">
        <f t="shared" si="56"/>
        <v>46.9</v>
      </c>
      <c r="Y190" s="3">
        <f t="shared" si="56"/>
        <v>38391.6</v>
      </c>
      <c r="Z190" s="3">
        <f t="shared" si="56"/>
        <v>49785.1</v>
      </c>
      <c r="AA190" s="3">
        <f t="shared" si="56"/>
        <v>46.9</v>
      </c>
      <c r="AB190" s="3">
        <f t="shared" si="56"/>
        <v>38391.6</v>
      </c>
      <c r="AC190" s="3">
        <f>SUM(AC191:AC216)</f>
        <v>49785.1</v>
      </c>
      <c r="AD190" s="3">
        <f>SUM(AD191:AD216)</f>
        <v>46.9</v>
      </c>
      <c r="AE190" s="3">
        <f>SUM(AE191:AE216)</f>
        <v>38391.6</v>
      </c>
      <c r="AF190" s="12"/>
      <c r="AG190" s="58"/>
      <c r="AH190" s="26">
        <f>SUM(AH191:AH216)</f>
        <v>42285.4</v>
      </c>
      <c r="AI190" s="26">
        <f aca="true" t="shared" si="57" ref="AI190:AS190">SUM(AI191:AI216)</f>
        <v>0</v>
      </c>
      <c r="AJ190" s="26">
        <f t="shared" si="57"/>
        <v>32446.800000000003</v>
      </c>
      <c r="AK190" s="26">
        <f t="shared" si="57"/>
        <v>45934.299999999996</v>
      </c>
      <c r="AL190" s="26">
        <f t="shared" si="57"/>
        <v>100</v>
      </c>
      <c r="AM190" s="26">
        <f t="shared" si="57"/>
        <v>35313.799999999996</v>
      </c>
      <c r="AN190" s="26">
        <f t="shared" si="57"/>
        <v>49809.7</v>
      </c>
      <c r="AO190" s="26">
        <f t="shared" si="57"/>
        <v>46.9</v>
      </c>
      <c r="AP190" s="26">
        <f t="shared" si="57"/>
        <v>38391.6</v>
      </c>
      <c r="AQ190" s="26">
        <f t="shared" si="57"/>
        <v>49785.1</v>
      </c>
      <c r="AR190" s="26">
        <f t="shared" si="57"/>
        <v>46.9</v>
      </c>
      <c r="AS190" s="26">
        <f t="shared" si="57"/>
        <v>38391.6</v>
      </c>
      <c r="AT190" s="26">
        <f>SUM(AT191:AT216)</f>
        <v>49785.1</v>
      </c>
      <c r="AU190" s="26">
        <f>SUM(AU191:AU216)</f>
        <v>46.9</v>
      </c>
      <c r="AV190" s="26">
        <f>SUM(AV191:AV216)</f>
        <v>38391.6</v>
      </c>
    </row>
    <row r="191" spans="1:48" ht="24" customHeight="1">
      <c r="A191" s="12" t="s">
        <v>9</v>
      </c>
      <c r="B191" s="91">
        <v>2201</v>
      </c>
      <c r="C191" s="38" t="s">
        <v>91</v>
      </c>
      <c r="D191" s="18">
        <v>121</v>
      </c>
      <c r="E191" s="84" t="s">
        <v>165</v>
      </c>
      <c r="F191" s="87" t="s">
        <v>226</v>
      </c>
      <c r="G191" s="84" t="s">
        <v>159</v>
      </c>
      <c r="H191" s="84"/>
      <c r="I191" s="84"/>
      <c r="J191" s="87"/>
      <c r="K191" s="91" t="s">
        <v>156</v>
      </c>
      <c r="L191" s="91" t="s">
        <v>120</v>
      </c>
      <c r="M191" s="90">
        <v>42998</v>
      </c>
      <c r="N191" s="18">
        <f>895.2</f>
        <v>895.2</v>
      </c>
      <c r="O191" s="18"/>
      <c r="P191" s="18">
        <f>895.2</f>
        <v>895.2</v>
      </c>
      <c r="Q191" s="18">
        <f>895.2</f>
        <v>895.2</v>
      </c>
      <c r="R191" s="18"/>
      <c r="S191" s="18">
        <f>895.2</f>
        <v>895.2</v>
      </c>
      <c r="T191" s="18"/>
      <c r="U191" s="18"/>
      <c r="V191" s="18"/>
      <c r="W191" s="18"/>
      <c r="X191" s="18"/>
      <c r="Y191" s="18"/>
      <c r="Z191" s="18"/>
      <c r="AA191" s="18"/>
      <c r="AB191" s="18"/>
      <c r="AC191" s="18"/>
      <c r="AD191" s="18"/>
      <c r="AE191" s="18"/>
      <c r="AF191" s="81" t="s">
        <v>284</v>
      </c>
      <c r="AG191" s="58"/>
      <c r="AH191" s="24">
        <f>895.2</f>
        <v>895.2</v>
      </c>
      <c r="AI191" s="24"/>
      <c r="AJ191" s="24">
        <f>895.2</f>
        <v>895.2</v>
      </c>
      <c r="AK191" s="24"/>
      <c r="AL191" s="24"/>
      <c r="AM191" s="24"/>
      <c r="AN191" s="24"/>
      <c r="AO191" s="24"/>
      <c r="AP191" s="24"/>
      <c r="AQ191" s="24"/>
      <c r="AR191" s="24"/>
      <c r="AS191" s="24"/>
      <c r="AT191" s="24"/>
      <c r="AU191" s="24"/>
      <c r="AV191" s="24"/>
    </row>
    <row r="192" spans="1:48" ht="18" customHeight="1">
      <c r="A192" s="84" t="s">
        <v>21</v>
      </c>
      <c r="B192" s="91"/>
      <c r="C192" s="10" t="s">
        <v>91</v>
      </c>
      <c r="D192" s="3">
        <v>129</v>
      </c>
      <c r="E192" s="84"/>
      <c r="F192" s="87"/>
      <c r="G192" s="84"/>
      <c r="H192" s="84"/>
      <c r="I192" s="84"/>
      <c r="J192" s="87"/>
      <c r="K192" s="91"/>
      <c r="L192" s="91"/>
      <c r="M192" s="90"/>
      <c r="N192" s="18">
        <f>262.8</f>
        <v>262.8</v>
      </c>
      <c r="O192" s="18"/>
      <c r="P192" s="18">
        <f>262.8</f>
        <v>262.8</v>
      </c>
      <c r="Q192" s="18">
        <f>262.8</f>
        <v>262.8</v>
      </c>
      <c r="R192" s="18"/>
      <c r="S192" s="18">
        <f>262.8</f>
        <v>262.8</v>
      </c>
      <c r="T192" s="18"/>
      <c r="U192" s="18"/>
      <c r="V192" s="18"/>
      <c r="W192" s="18"/>
      <c r="X192" s="18"/>
      <c r="Y192" s="18"/>
      <c r="Z192" s="18"/>
      <c r="AA192" s="18"/>
      <c r="AB192" s="18"/>
      <c r="AC192" s="18"/>
      <c r="AD192" s="18"/>
      <c r="AE192" s="18"/>
      <c r="AF192" s="82"/>
      <c r="AG192" s="58"/>
      <c r="AH192" s="24">
        <f>262.8</f>
        <v>262.8</v>
      </c>
      <c r="AI192" s="24"/>
      <c r="AJ192" s="24">
        <f>262.8</f>
        <v>262.8</v>
      </c>
      <c r="AK192" s="24"/>
      <c r="AL192" s="24"/>
      <c r="AM192" s="24"/>
      <c r="AN192" s="24"/>
      <c r="AO192" s="24"/>
      <c r="AP192" s="24"/>
      <c r="AQ192" s="24"/>
      <c r="AR192" s="24"/>
      <c r="AS192" s="24"/>
      <c r="AT192" s="24"/>
      <c r="AU192" s="24"/>
      <c r="AV192" s="24"/>
    </row>
    <row r="193" spans="1:48" ht="20.25" customHeight="1">
      <c r="A193" s="84"/>
      <c r="B193" s="91"/>
      <c r="C193" s="10" t="s">
        <v>92</v>
      </c>
      <c r="D193" s="3">
        <v>121</v>
      </c>
      <c r="E193" s="84"/>
      <c r="F193" s="87"/>
      <c r="G193" s="84"/>
      <c r="H193" s="84"/>
      <c r="I193" s="84"/>
      <c r="J193" s="87"/>
      <c r="K193" s="91" t="s">
        <v>148</v>
      </c>
      <c r="L193" s="91" t="s">
        <v>120</v>
      </c>
      <c r="M193" s="90" t="s">
        <v>126</v>
      </c>
      <c r="N193" s="3">
        <f>1441.5</f>
        <v>1441.5</v>
      </c>
      <c r="O193" s="3"/>
      <c r="P193" s="3">
        <f>1441.5</f>
        <v>1441.5</v>
      </c>
      <c r="Q193" s="3">
        <f>1441.5</f>
        <v>1441.5</v>
      </c>
      <c r="R193" s="3"/>
      <c r="S193" s="3">
        <f>1441.5</f>
        <v>1441.5</v>
      </c>
      <c r="T193" s="18">
        <v>2430.2</v>
      </c>
      <c r="U193" s="3"/>
      <c r="V193" s="18">
        <v>2430.2</v>
      </c>
      <c r="W193" s="18">
        <v>2502.4</v>
      </c>
      <c r="X193" s="3"/>
      <c r="Y193" s="18">
        <v>2502.4</v>
      </c>
      <c r="Z193" s="18">
        <v>2502.4</v>
      </c>
      <c r="AA193" s="18"/>
      <c r="AB193" s="18">
        <v>2502.4</v>
      </c>
      <c r="AC193" s="18">
        <v>2502.4</v>
      </c>
      <c r="AD193" s="18"/>
      <c r="AE193" s="18">
        <v>2502.4</v>
      </c>
      <c r="AF193" s="82"/>
      <c r="AG193" s="130" t="s">
        <v>286</v>
      </c>
      <c r="AH193" s="26">
        <f>1441.5</f>
        <v>1441.5</v>
      </c>
      <c r="AI193" s="26"/>
      <c r="AJ193" s="26">
        <f>1441.5</f>
        <v>1441.5</v>
      </c>
      <c r="AK193" s="24">
        <v>2430.2</v>
      </c>
      <c r="AL193" s="26"/>
      <c r="AM193" s="24">
        <v>2430.2</v>
      </c>
      <c r="AN193" s="24">
        <v>2502.4</v>
      </c>
      <c r="AO193" s="26"/>
      <c r="AP193" s="24">
        <v>2502.4</v>
      </c>
      <c r="AQ193" s="24">
        <v>2502.4</v>
      </c>
      <c r="AR193" s="24"/>
      <c r="AS193" s="24">
        <v>2502.4</v>
      </c>
      <c r="AT193" s="24">
        <v>2502.4</v>
      </c>
      <c r="AU193" s="24"/>
      <c r="AV193" s="24">
        <v>2502.4</v>
      </c>
    </row>
    <row r="194" spans="1:48" ht="20.25" customHeight="1">
      <c r="A194" s="84"/>
      <c r="B194" s="91"/>
      <c r="C194" s="10" t="s">
        <v>92</v>
      </c>
      <c r="D194" s="3">
        <v>122</v>
      </c>
      <c r="E194" s="84"/>
      <c r="F194" s="87"/>
      <c r="G194" s="84"/>
      <c r="H194" s="84"/>
      <c r="I194" s="84"/>
      <c r="J194" s="87"/>
      <c r="K194" s="91"/>
      <c r="L194" s="91"/>
      <c r="M194" s="90"/>
      <c r="N194" s="3">
        <f>15</f>
        <v>15</v>
      </c>
      <c r="O194" s="3"/>
      <c r="P194" s="3"/>
      <c r="Q194" s="3">
        <f>12</f>
        <v>12</v>
      </c>
      <c r="R194" s="3"/>
      <c r="S194" s="3"/>
      <c r="T194" s="18">
        <v>72.4</v>
      </c>
      <c r="U194" s="3"/>
      <c r="V194" s="3"/>
      <c r="W194" s="18">
        <v>72.4</v>
      </c>
      <c r="X194" s="3"/>
      <c r="Y194" s="18"/>
      <c r="Z194" s="18">
        <v>72.4</v>
      </c>
      <c r="AA194" s="18"/>
      <c r="AB194" s="18"/>
      <c r="AC194" s="18">
        <v>72.4</v>
      </c>
      <c r="AD194" s="18"/>
      <c r="AE194" s="18"/>
      <c r="AF194" s="82"/>
      <c r="AG194" s="131"/>
      <c r="AH194" s="26">
        <f>15</f>
        <v>15</v>
      </c>
      <c r="AI194" s="26"/>
      <c r="AJ194" s="26"/>
      <c r="AK194" s="24">
        <v>72.4</v>
      </c>
      <c r="AL194" s="26"/>
      <c r="AM194" s="26"/>
      <c r="AN194" s="24">
        <v>72.4</v>
      </c>
      <c r="AO194" s="26"/>
      <c r="AP194" s="24"/>
      <c r="AQ194" s="24">
        <v>72.4</v>
      </c>
      <c r="AR194" s="24"/>
      <c r="AS194" s="24"/>
      <c r="AT194" s="24">
        <v>72.4</v>
      </c>
      <c r="AU194" s="24"/>
      <c r="AV194" s="24"/>
    </row>
    <row r="195" spans="1:48" ht="15.75" customHeight="1">
      <c r="A195" s="84"/>
      <c r="B195" s="91"/>
      <c r="C195" s="10" t="s">
        <v>92</v>
      </c>
      <c r="D195" s="3">
        <v>123</v>
      </c>
      <c r="E195" s="84"/>
      <c r="F195" s="87"/>
      <c r="G195" s="84"/>
      <c r="H195" s="84"/>
      <c r="I195" s="84"/>
      <c r="J195" s="87"/>
      <c r="K195" s="91"/>
      <c r="L195" s="91"/>
      <c r="M195" s="90"/>
      <c r="N195" s="3">
        <f>80.5</f>
        <v>80.5</v>
      </c>
      <c r="O195" s="3"/>
      <c r="P195" s="3"/>
      <c r="Q195" s="3">
        <v>80.5</v>
      </c>
      <c r="R195" s="3"/>
      <c r="S195" s="3"/>
      <c r="T195" s="18">
        <v>114</v>
      </c>
      <c r="U195" s="3"/>
      <c r="V195" s="3"/>
      <c r="W195" s="18">
        <v>114</v>
      </c>
      <c r="X195" s="3"/>
      <c r="Y195" s="18"/>
      <c r="Z195" s="18">
        <v>114</v>
      </c>
      <c r="AA195" s="18"/>
      <c r="AB195" s="18"/>
      <c r="AC195" s="18">
        <v>114</v>
      </c>
      <c r="AD195" s="18"/>
      <c r="AE195" s="18"/>
      <c r="AF195" s="82"/>
      <c r="AG195" s="131"/>
      <c r="AH195" s="26">
        <f>80.5</f>
        <v>80.5</v>
      </c>
      <c r="AI195" s="26"/>
      <c r="AJ195" s="26"/>
      <c r="AK195" s="24">
        <v>114</v>
      </c>
      <c r="AL195" s="26"/>
      <c r="AM195" s="26"/>
      <c r="AN195" s="24">
        <v>114</v>
      </c>
      <c r="AO195" s="26"/>
      <c r="AP195" s="24"/>
      <c r="AQ195" s="24">
        <v>114</v>
      </c>
      <c r="AR195" s="24"/>
      <c r="AS195" s="24"/>
      <c r="AT195" s="24">
        <v>114</v>
      </c>
      <c r="AU195" s="24"/>
      <c r="AV195" s="24"/>
    </row>
    <row r="196" spans="1:48" ht="15.75" customHeight="1">
      <c r="A196" s="84"/>
      <c r="B196" s="91"/>
      <c r="C196" s="10" t="s">
        <v>92</v>
      </c>
      <c r="D196" s="3">
        <v>129</v>
      </c>
      <c r="E196" s="84"/>
      <c r="F196" s="87"/>
      <c r="G196" s="84"/>
      <c r="H196" s="84"/>
      <c r="I196" s="84"/>
      <c r="J196" s="87"/>
      <c r="K196" s="91"/>
      <c r="L196" s="91"/>
      <c r="M196" s="90"/>
      <c r="N196" s="3">
        <f>431.4</f>
        <v>431.4</v>
      </c>
      <c r="O196" s="3"/>
      <c r="P196" s="3">
        <f>431.4</f>
        <v>431.4</v>
      </c>
      <c r="Q196" s="3">
        <f>431.4</f>
        <v>431.4</v>
      </c>
      <c r="R196" s="3"/>
      <c r="S196" s="3">
        <f>431.4</f>
        <v>431.4</v>
      </c>
      <c r="T196" s="3">
        <v>679</v>
      </c>
      <c r="U196" s="3"/>
      <c r="V196" s="3">
        <v>679</v>
      </c>
      <c r="W196" s="3">
        <v>695.4</v>
      </c>
      <c r="X196" s="3"/>
      <c r="Y196" s="3">
        <v>695.4</v>
      </c>
      <c r="Z196" s="3">
        <v>695.4</v>
      </c>
      <c r="AA196" s="3"/>
      <c r="AB196" s="3">
        <v>695.4</v>
      </c>
      <c r="AC196" s="3">
        <v>695.4</v>
      </c>
      <c r="AD196" s="3"/>
      <c r="AE196" s="3">
        <v>695.4</v>
      </c>
      <c r="AF196" s="82"/>
      <c r="AG196" s="131"/>
      <c r="AH196" s="26">
        <f>431.4</f>
        <v>431.4</v>
      </c>
      <c r="AI196" s="26"/>
      <c r="AJ196" s="26">
        <f>431.4</f>
        <v>431.4</v>
      </c>
      <c r="AK196" s="26">
        <v>679</v>
      </c>
      <c r="AL196" s="26"/>
      <c r="AM196" s="26">
        <v>679</v>
      </c>
      <c r="AN196" s="26">
        <v>695.4</v>
      </c>
      <c r="AO196" s="26"/>
      <c r="AP196" s="26">
        <v>695.4</v>
      </c>
      <c r="AQ196" s="26">
        <v>695.4</v>
      </c>
      <c r="AR196" s="26"/>
      <c r="AS196" s="26">
        <v>695.4</v>
      </c>
      <c r="AT196" s="26">
        <v>695.4</v>
      </c>
      <c r="AU196" s="26"/>
      <c r="AV196" s="26">
        <v>695.4</v>
      </c>
    </row>
    <row r="197" spans="1:48" ht="15.75" customHeight="1">
      <c r="A197" s="84"/>
      <c r="B197" s="91"/>
      <c r="C197" s="10" t="s">
        <v>92</v>
      </c>
      <c r="D197" s="3">
        <v>244</v>
      </c>
      <c r="E197" s="84"/>
      <c r="F197" s="87"/>
      <c r="G197" s="84"/>
      <c r="H197" s="84"/>
      <c r="I197" s="84"/>
      <c r="J197" s="87"/>
      <c r="K197" s="91"/>
      <c r="L197" s="91"/>
      <c r="M197" s="90"/>
      <c r="N197" s="3">
        <v>189.8</v>
      </c>
      <c r="O197" s="3"/>
      <c r="P197" s="3"/>
      <c r="Q197" s="3">
        <v>189.8</v>
      </c>
      <c r="R197" s="3"/>
      <c r="S197" s="3"/>
      <c r="T197" s="3">
        <v>304.5</v>
      </c>
      <c r="U197" s="3">
        <v>100</v>
      </c>
      <c r="V197" s="3"/>
      <c r="W197" s="3">
        <v>176.4</v>
      </c>
      <c r="X197" s="3">
        <v>46.9</v>
      </c>
      <c r="Y197" s="3"/>
      <c r="Z197" s="3">
        <v>176.4</v>
      </c>
      <c r="AA197" s="3">
        <v>46.9</v>
      </c>
      <c r="AB197" s="3"/>
      <c r="AC197" s="3">
        <v>176.4</v>
      </c>
      <c r="AD197" s="3">
        <v>46.9</v>
      </c>
      <c r="AE197" s="3"/>
      <c r="AF197" s="82"/>
      <c r="AG197" s="131"/>
      <c r="AH197" s="26">
        <v>189.8</v>
      </c>
      <c r="AI197" s="26"/>
      <c r="AJ197" s="26"/>
      <c r="AK197" s="26">
        <v>304.5</v>
      </c>
      <c r="AL197" s="26">
        <v>100</v>
      </c>
      <c r="AM197" s="26"/>
      <c r="AN197" s="26">
        <v>176.4</v>
      </c>
      <c r="AO197" s="26">
        <v>46.9</v>
      </c>
      <c r="AP197" s="26"/>
      <c r="AQ197" s="26">
        <v>176.4</v>
      </c>
      <c r="AR197" s="26">
        <v>46.9</v>
      </c>
      <c r="AS197" s="26"/>
      <c r="AT197" s="26">
        <v>176.4</v>
      </c>
      <c r="AU197" s="26">
        <v>46.9</v>
      </c>
      <c r="AV197" s="26"/>
    </row>
    <row r="198" spans="1:48" ht="15.75" customHeight="1">
      <c r="A198" s="84"/>
      <c r="B198" s="91"/>
      <c r="C198" s="10" t="s">
        <v>92</v>
      </c>
      <c r="D198" s="3">
        <v>852</v>
      </c>
      <c r="E198" s="84"/>
      <c r="F198" s="87"/>
      <c r="G198" s="84"/>
      <c r="H198" s="84"/>
      <c r="I198" s="84"/>
      <c r="J198" s="87"/>
      <c r="K198" s="91"/>
      <c r="L198" s="91"/>
      <c r="M198" s="90"/>
      <c r="N198" s="3"/>
      <c r="O198" s="3"/>
      <c r="P198" s="3"/>
      <c r="Q198" s="3"/>
      <c r="R198" s="3"/>
      <c r="S198" s="3"/>
      <c r="T198" s="3">
        <v>0.1</v>
      </c>
      <c r="U198" s="3"/>
      <c r="V198" s="3"/>
      <c r="W198" s="3">
        <v>0.1</v>
      </c>
      <c r="X198" s="3"/>
      <c r="Y198" s="3"/>
      <c r="Z198" s="3">
        <v>0.1</v>
      </c>
      <c r="AA198" s="3"/>
      <c r="AB198" s="3"/>
      <c r="AC198" s="3">
        <v>0.1</v>
      </c>
      <c r="AD198" s="3"/>
      <c r="AE198" s="3"/>
      <c r="AF198" s="82"/>
      <c r="AG198" s="131"/>
      <c r="AH198" s="26"/>
      <c r="AI198" s="26"/>
      <c r="AJ198" s="26"/>
      <c r="AK198" s="26">
        <v>0.1</v>
      </c>
      <c r="AL198" s="26"/>
      <c r="AM198" s="26"/>
      <c r="AN198" s="26">
        <v>0.1</v>
      </c>
      <c r="AO198" s="26"/>
      <c r="AP198" s="26"/>
      <c r="AQ198" s="26">
        <v>0.1</v>
      </c>
      <c r="AR198" s="26"/>
      <c r="AS198" s="26"/>
      <c r="AT198" s="26">
        <v>0.1</v>
      </c>
      <c r="AU198" s="26"/>
      <c r="AV198" s="26"/>
    </row>
    <row r="199" spans="1:48" ht="15.75" customHeight="1">
      <c r="A199" s="84"/>
      <c r="B199" s="91"/>
      <c r="C199" s="10" t="s">
        <v>92</v>
      </c>
      <c r="D199" s="3">
        <v>853</v>
      </c>
      <c r="E199" s="84"/>
      <c r="F199" s="87"/>
      <c r="G199" s="84"/>
      <c r="H199" s="84"/>
      <c r="I199" s="84"/>
      <c r="J199" s="87"/>
      <c r="K199" s="91"/>
      <c r="L199" s="91"/>
      <c r="M199" s="90"/>
      <c r="N199" s="3"/>
      <c r="O199" s="3"/>
      <c r="P199" s="3"/>
      <c r="Q199" s="3"/>
      <c r="R199" s="3"/>
      <c r="S199" s="3"/>
      <c r="T199" s="3"/>
      <c r="U199" s="3"/>
      <c r="V199" s="3"/>
      <c r="W199" s="3"/>
      <c r="X199" s="3"/>
      <c r="Y199" s="3"/>
      <c r="Z199" s="3"/>
      <c r="AA199" s="3"/>
      <c r="AB199" s="3"/>
      <c r="AC199" s="3"/>
      <c r="AD199" s="3"/>
      <c r="AE199" s="3"/>
      <c r="AF199" s="82"/>
      <c r="AG199" s="132"/>
      <c r="AH199" s="26"/>
      <c r="AI199" s="26"/>
      <c r="AJ199" s="26"/>
      <c r="AK199" s="26"/>
      <c r="AL199" s="26"/>
      <c r="AM199" s="26"/>
      <c r="AN199" s="26"/>
      <c r="AO199" s="26"/>
      <c r="AP199" s="26"/>
      <c r="AQ199" s="26"/>
      <c r="AR199" s="26"/>
      <c r="AS199" s="26"/>
      <c r="AT199" s="26"/>
      <c r="AU199" s="26"/>
      <c r="AV199" s="26"/>
    </row>
    <row r="200" spans="1:48" ht="18" customHeight="1">
      <c r="A200" s="84"/>
      <c r="B200" s="91"/>
      <c r="C200" s="10" t="s">
        <v>91</v>
      </c>
      <c r="D200" s="3">
        <v>121</v>
      </c>
      <c r="E200" s="84"/>
      <c r="F200" s="87"/>
      <c r="G200" s="84"/>
      <c r="H200" s="84"/>
      <c r="I200" s="84"/>
      <c r="J200" s="87"/>
      <c r="K200" s="91" t="s">
        <v>145</v>
      </c>
      <c r="L200" s="120" t="s">
        <v>146</v>
      </c>
      <c r="M200" s="120" t="s">
        <v>147</v>
      </c>
      <c r="N200" s="3">
        <v>258.9</v>
      </c>
      <c r="O200" s="3"/>
      <c r="P200" s="3">
        <v>258.9</v>
      </c>
      <c r="Q200" s="3">
        <v>258.9</v>
      </c>
      <c r="R200" s="3"/>
      <c r="S200" s="3">
        <v>258.9</v>
      </c>
      <c r="T200" s="3">
        <v>1217.1</v>
      </c>
      <c r="U200" s="3"/>
      <c r="V200" s="3">
        <v>1217.1</v>
      </c>
      <c r="W200" s="3">
        <v>1253.3</v>
      </c>
      <c r="X200" s="3"/>
      <c r="Y200" s="3">
        <v>1253.3</v>
      </c>
      <c r="Z200" s="3">
        <v>1253.3</v>
      </c>
      <c r="AA200" s="3"/>
      <c r="AB200" s="3">
        <v>1253.3</v>
      </c>
      <c r="AC200" s="3">
        <v>1253.3</v>
      </c>
      <c r="AD200" s="3"/>
      <c r="AE200" s="3">
        <v>1253.3</v>
      </c>
      <c r="AF200" s="82"/>
      <c r="AG200" s="130" t="s">
        <v>286</v>
      </c>
      <c r="AH200" s="26">
        <v>258.9</v>
      </c>
      <c r="AI200" s="26"/>
      <c r="AJ200" s="26">
        <v>258.9</v>
      </c>
      <c r="AK200" s="26">
        <v>1217.1</v>
      </c>
      <c r="AL200" s="26"/>
      <c r="AM200" s="26">
        <v>1217.1</v>
      </c>
      <c r="AN200" s="26">
        <v>1253.3</v>
      </c>
      <c r="AO200" s="26"/>
      <c r="AP200" s="26">
        <v>1253.3</v>
      </c>
      <c r="AQ200" s="26">
        <v>1253.3</v>
      </c>
      <c r="AR200" s="26"/>
      <c r="AS200" s="26">
        <v>1253.3</v>
      </c>
      <c r="AT200" s="26">
        <v>1253.3</v>
      </c>
      <c r="AU200" s="26"/>
      <c r="AV200" s="26">
        <v>1253.3</v>
      </c>
    </row>
    <row r="201" spans="1:48" ht="20.25" customHeight="1">
      <c r="A201" s="84"/>
      <c r="B201" s="91"/>
      <c r="C201" s="10" t="s">
        <v>91</v>
      </c>
      <c r="D201" s="3">
        <v>129</v>
      </c>
      <c r="E201" s="84"/>
      <c r="F201" s="87"/>
      <c r="G201" s="84"/>
      <c r="H201" s="84"/>
      <c r="I201" s="84"/>
      <c r="J201" s="87"/>
      <c r="K201" s="91"/>
      <c r="L201" s="124" t="s">
        <v>146</v>
      </c>
      <c r="M201" s="124" t="s">
        <v>147</v>
      </c>
      <c r="N201" s="3">
        <v>39.6</v>
      </c>
      <c r="O201" s="3"/>
      <c r="P201" s="3">
        <v>39.6</v>
      </c>
      <c r="Q201" s="3">
        <v>39.6</v>
      </c>
      <c r="R201" s="3"/>
      <c r="S201" s="3">
        <v>39.6</v>
      </c>
      <c r="T201" s="3">
        <v>312.6</v>
      </c>
      <c r="U201" s="3"/>
      <c r="V201" s="3">
        <v>312.6</v>
      </c>
      <c r="W201" s="3">
        <v>318.2</v>
      </c>
      <c r="X201" s="3"/>
      <c r="Y201" s="3">
        <v>318.2</v>
      </c>
      <c r="Z201" s="3">
        <v>318.2</v>
      </c>
      <c r="AA201" s="3"/>
      <c r="AB201" s="3">
        <v>318.2</v>
      </c>
      <c r="AC201" s="3">
        <v>318.2</v>
      </c>
      <c r="AD201" s="3"/>
      <c r="AE201" s="3">
        <v>318.2</v>
      </c>
      <c r="AF201" s="82"/>
      <c r="AG201" s="132"/>
      <c r="AH201" s="26">
        <v>39.6</v>
      </c>
      <c r="AI201" s="26"/>
      <c r="AJ201" s="26">
        <v>39.6</v>
      </c>
      <c r="AK201" s="26">
        <v>312.6</v>
      </c>
      <c r="AL201" s="26"/>
      <c r="AM201" s="26">
        <v>312.6</v>
      </c>
      <c r="AN201" s="26">
        <v>318.2</v>
      </c>
      <c r="AO201" s="26"/>
      <c r="AP201" s="26">
        <v>318.2</v>
      </c>
      <c r="AQ201" s="26">
        <v>318.2</v>
      </c>
      <c r="AR201" s="26"/>
      <c r="AS201" s="26">
        <v>318.2</v>
      </c>
      <c r="AT201" s="26">
        <v>318.2</v>
      </c>
      <c r="AU201" s="26"/>
      <c r="AV201" s="26">
        <v>318.2</v>
      </c>
    </row>
    <row r="202" spans="1:48" ht="18.75" customHeight="1">
      <c r="A202" s="84"/>
      <c r="B202" s="91"/>
      <c r="C202" s="10" t="s">
        <v>27</v>
      </c>
      <c r="D202" s="3">
        <v>121</v>
      </c>
      <c r="E202" s="84"/>
      <c r="F202" s="87"/>
      <c r="G202" s="84"/>
      <c r="H202" s="84"/>
      <c r="I202" s="84"/>
      <c r="J202" s="87"/>
      <c r="K202" s="91" t="s">
        <v>148</v>
      </c>
      <c r="L202" s="91" t="s">
        <v>120</v>
      </c>
      <c r="M202" s="90" t="s">
        <v>126</v>
      </c>
      <c r="N202" s="3">
        <f>20746.4</f>
        <v>20746.4</v>
      </c>
      <c r="O202" s="3"/>
      <c r="P202" s="3">
        <f>20746.4</f>
        <v>20746.4</v>
      </c>
      <c r="Q202" s="3">
        <f>20746.4</f>
        <v>20746.4</v>
      </c>
      <c r="R202" s="3"/>
      <c r="S202" s="3">
        <f>20746.4</f>
        <v>20746.4</v>
      </c>
      <c r="T202" s="3">
        <v>21961.8</v>
      </c>
      <c r="U202" s="3"/>
      <c r="V202" s="3">
        <v>21961.8</v>
      </c>
      <c r="W202" s="3">
        <v>24104.2</v>
      </c>
      <c r="X202" s="3"/>
      <c r="Y202" s="3">
        <v>24104.2</v>
      </c>
      <c r="Z202" s="3">
        <v>24104.2</v>
      </c>
      <c r="AA202" s="3"/>
      <c r="AB202" s="3">
        <v>24104.2</v>
      </c>
      <c r="AC202" s="3">
        <v>24104.2</v>
      </c>
      <c r="AD202" s="3"/>
      <c r="AE202" s="3">
        <v>24104.2</v>
      </c>
      <c r="AF202" s="82"/>
      <c r="AG202" s="81" t="s">
        <v>287</v>
      </c>
      <c r="AH202" s="26">
        <f>20746.4</f>
        <v>20746.4</v>
      </c>
      <c r="AI202" s="26"/>
      <c r="AJ202" s="26">
        <f>20746.4</f>
        <v>20746.4</v>
      </c>
      <c r="AK202" s="26">
        <v>21961.8</v>
      </c>
      <c r="AL202" s="26"/>
      <c r="AM202" s="26">
        <v>21961.8</v>
      </c>
      <c r="AN202" s="26">
        <v>24104.2</v>
      </c>
      <c r="AO202" s="26"/>
      <c r="AP202" s="26">
        <v>24104.2</v>
      </c>
      <c r="AQ202" s="26">
        <v>24104.2</v>
      </c>
      <c r="AR202" s="26"/>
      <c r="AS202" s="26">
        <v>24104.2</v>
      </c>
      <c r="AT202" s="26">
        <v>24104.2</v>
      </c>
      <c r="AU202" s="26"/>
      <c r="AV202" s="26">
        <v>24104.2</v>
      </c>
    </row>
    <row r="203" spans="1:48" ht="15">
      <c r="A203" s="84"/>
      <c r="B203" s="91"/>
      <c r="C203" s="10" t="s">
        <v>27</v>
      </c>
      <c r="D203" s="3">
        <v>122</v>
      </c>
      <c r="E203" s="84"/>
      <c r="F203" s="87"/>
      <c r="G203" s="84"/>
      <c r="H203" s="84"/>
      <c r="I203" s="84"/>
      <c r="J203" s="87"/>
      <c r="K203" s="91"/>
      <c r="L203" s="91"/>
      <c r="M203" s="90"/>
      <c r="N203" s="3">
        <f>256.9</f>
        <v>256.9</v>
      </c>
      <c r="O203" s="3"/>
      <c r="P203" s="3"/>
      <c r="Q203" s="3">
        <f>220.4</f>
        <v>220.4</v>
      </c>
      <c r="R203" s="3"/>
      <c r="S203" s="3"/>
      <c r="T203" s="3">
        <v>207</v>
      </c>
      <c r="U203" s="3"/>
      <c r="V203" s="3"/>
      <c r="W203" s="3">
        <v>300</v>
      </c>
      <c r="X203" s="3"/>
      <c r="Y203" s="3"/>
      <c r="Z203" s="3">
        <f>300</f>
        <v>300</v>
      </c>
      <c r="AA203" s="3"/>
      <c r="AB203" s="3"/>
      <c r="AC203" s="3">
        <f>300</f>
        <v>300</v>
      </c>
      <c r="AD203" s="3"/>
      <c r="AE203" s="3"/>
      <c r="AF203" s="82"/>
      <c r="AG203" s="82"/>
      <c r="AH203" s="26">
        <f>256.9</f>
        <v>256.9</v>
      </c>
      <c r="AI203" s="26"/>
      <c r="AJ203" s="26"/>
      <c r="AK203" s="26">
        <v>207</v>
      </c>
      <c r="AL203" s="26"/>
      <c r="AM203" s="26"/>
      <c r="AN203" s="26">
        <v>300</v>
      </c>
      <c r="AO203" s="26"/>
      <c r="AP203" s="26"/>
      <c r="AQ203" s="26">
        <f>300</f>
        <v>300</v>
      </c>
      <c r="AR203" s="26"/>
      <c r="AS203" s="26"/>
      <c r="AT203" s="26">
        <f>300</f>
        <v>300</v>
      </c>
      <c r="AU203" s="26"/>
      <c r="AV203" s="26"/>
    </row>
    <row r="204" spans="1:48" ht="15">
      <c r="A204" s="84"/>
      <c r="B204" s="91"/>
      <c r="C204" s="10" t="s">
        <v>27</v>
      </c>
      <c r="D204" s="3">
        <v>129</v>
      </c>
      <c r="E204" s="84"/>
      <c r="F204" s="87"/>
      <c r="G204" s="84"/>
      <c r="H204" s="84"/>
      <c r="I204" s="84"/>
      <c r="J204" s="87"/>
      <c r="K204" s="91"/>
      <c r="L204" s="91"/>
      <c r="M204" s="90"/>
      <c r="N204" s="3">
        <f>6278.4</f>
        <v>6278.4</v>
      </c>
      <c r="O204" s="3"/>
      <c r="P204" s="3">
        <f>6278.4</f>
        <v>6278.4</v>
      </c>
      <c r="Q204" s="3">
        <f>6278.4</f>
        <v>6278.4</v>
      </c>
      <c r="R204" s="3"/>
      <c r="S204" s="3">
        <f>6278.4</f>
        <v>6278.4</v>
      </c>
      <c r="T204" s="3">
        <v>6629.9</v>
      </c>
      <c r="U204" s="3"/>
      <c r="V204" s="3">
        <v>6629.9</v>
      </c>
      <c r="W204" s="3">
        <v>7279.5</v>
      </c>
      <c r="X204" s="3"/>
      <c r="Y204" s="3">
        <v>7279.5</v>
      </c>
      <c r="Z204" s="3">
        <v>7279.5</v>
      </c>
      <c r="AA204" s="3"/>
      <c r="AB204" s="3">
        <v>7279.5</v>
      </c>
      <c r="AC204" s="3">
        <v>7279.5</v>
      </c>
      <c r="AD204" s="3"/>
      <c r="AE204" s="3">
        <v>7279.5</v>
      </c>
      <c r="AF204" s="82"/>
      <c r="AG204" s="82"/>
      <c r="AH204" s="26">
        <f>6278.4</f>
        <v>6278.4</v>
      </c>
      <c r="AI204" s="26"/>
      <c r="AJ204" s="26">
        <f>6278.4</f>
        <v>6278.4</v>
      </c>
      <c r="AK204" s="26">
        <v>6629.9</v>
      </c>
      <c r="AL204" s="26"/>
      <c r="AM204" s="26">
        <v>6629.9</v>
      </c>
      <c r="AN204" s="26">
        <v>7279.5</v>
      </c>
      <c r="AO204" s="26"/>
      <c r="AP204" s="26">
        <v>7279.5</v>
      </c>
      <c r="AQ204" s="26">
        <v>7279.5</v>
      </c>
      <c r="AR204" s="26"/>
      <c r="AS204" s="26">
        <v>7279.5</v>
      </c>
      <c r="AT204" s="26">
        <v>7279.5</v>
      </c>
      <c r="AU204" s="26"/>
      <c r="AV204" s="26">
        <v>7279.5</v>
      </c>
    </row>
    <row r="205" spans="1:48" ht="15">
      <c r="A205" s="84"/>
      <c r="B205" s="91"/>
      <c r="C205" s="10" t="s">
        <v>27</v>
      </c>
      <c r="D205" s="3">
        <v>244</v>
      </c>
      <c r="E205" s="84"/>
      <c r="F205" s="87"/>
      <c r="G205" s="84"/>
      <c r="H205" s="84"/>
      <c r="I205" s="84"/>
      <c r="J205" s="87"/>
      <c r="K205" s="91"/>
      <c r="L205" s="91"/>
      <c r="M205" s="90"/>
      <c r="N205" s="3">
        <f>537</f>
        <v>537</v>
      </c>
      <c r="O205" s="3"/>
      <c r="P205" s="3"/>
      <c r="Q205" s="3">
        <f>463.9</f>
        <v>463.9</v>
      </c>
      <c r="R205" s="3"/>
      <c r="S205" s="3"/>
      <c r="T205" s="3">
        <v>324.5</v>
      </c>
      <c r="U205" s="3"/>
      <c r="V205" s="3"/>
      <c r="W205" s="3">
        <v>324.5</v>
      </c>
      <c r="X205" s="3"/>
      <c r="Y205" s="3"/>
      <c r="Z205" s="3">
        <v>324.5</v>
      </c>
      <c r="AA205" s="3"/>
      <c r="AB205" s="3"/>
      <c r="AC205" s="3">
        <v>324.5</v>
      </c>
      <c r="AD205" s="3"/>
      <c r="AE205" s="3"/>
      <c r="AF205" s="82"/>
      <c r="AG205" s="82"/>
      <c r="AH205" s="26">
        <f>537</f>
        <v>537</v>
      </c>
      <c r="AI205" s="26"/>
      <c r="AJ205" s="26"/>
      <c r="AK205" s="26">
        <v>324.5</v>
      </c>
      <c r="AL205" s="26"/>
      <c r="AM205" s="26"/>
      <c r="AN205" s="26">
        <v>324.5</v>
      </c>
      <c r="AO205" s="26"/>
      <c r="AP205" s="26"/>
      <c r="AQ205" s="26">
        <v>324.5</v>
      </c>
      <c r="AR205" s="26"/>
      <c r="AS205" s="26"/>
      <c r="AT205" s="26">
        <v>324.5</v>
      </c>
      <c r="AU205" s="26"/>
      <c r="AV205" s="26"/>
    </row>
    <row r="206" spans="1:48" ht="15">
      <c r="A206" s="84"/>
      <c r="B206" s="91"/>
      <c r="C206" s="10" t="s">
        <v>27</v>
      </c>
      <c r="D206" s="3">
        <v>853</v>
      </c>
      <c r="E206" s="84"/>
      <c r="F206" s="87"/>
      <c r="G206" s="84"/>
      <c r="H206" s="84"/>
      <c r="I206" s="84"/>
      <c r="J206" s="87"/>
      <c r="K206" s="91"/>
      <c r="L206" s="91"/>
      <c r="M206" s="90"/>
      <c r="N206" s="3">
        <v>60.2</v>
      </c>
      <c r="O206" s="3"/>
      <c r="P206" s="3"/>
      <c r="Q206" s="3">
        <v>57.5</v>
      </c>
      <c r="R206" s="3"/>
      <c r="S206" s="3"/>
      <c r="T206" s="3">
        <v>60.2</v>
      </c>
      <c r="U206" s="3"/>
      <c r="V206" s="3"/>
      <c r="W206" s="3">
        <v>60.2</v>
      </c>
      <c r="X206" s="3"/>
      <c r="Y206" s="3"/>
      <c r="Z206" s="3">
        <v>60.2</v>
      </c>
      <c r="AA206" s="3"/>
      <c r="AB206" s="3"/>
      <c r="AC206" s="3">
        <v>60.2</v>
      </c>
      <c r="AD206" s="3"/>
      <c r="AE206" s="3"/>
      <c r="AF206" s="82"/>
      <c r="AG206" s="82"/>
      <c r="AH206" s="26">
        <v>60.2</v>
      </c>
      <c r="AI206" s="26"/>
      <c r="AJ206" s="26"/>
      <c r="AK206" s="26">
        <v>60.2</v>
      </c>
      <c r="AL206" s="26"/>
      <c r="AM206" s="26"/>
      <c r="AN206" s="26">
        <v>60.2</v>
      </c>
      <c r="AO206" s="26"/>
      <c r="AP206" s="26"/>
      <c r="AQ206" s="26">
        <v>60.2</v>
      </c>
      <c r="AR206" s="26"/>
      <c r="AS206" s="26"/>
      <c r="AT206" s="26">
        <v>60.2</v>
      </c>
      <c r="AU206" s="26"/>
      <c r="AV206" s="26"/>
    </row>
    <row r="207" spans="1:48" ht="15">
      <c r="A207" s="84"/>
      <c r="B207" s="91"/>
      <c r="C207" s="10" t="s">
        <v>35</v>
      </c>
      <c r="D207" s="3">
        <v>121</v>
      </c>
      <c r="E207" s="84"/>
      <c r="F207" s="87"/>
      <c r="G207" s="84"/>
      <c r="H207" s="84"/>
      <c r="I207" s="84"/>
      <c r="J207" s="87"/>
      <c r="K207" s="91"/>
      <c r="L207" s="91"/>
      <c r="M207" s="90"/>
      <c r="N207" s="3">
        <v>1609.8</v>
      </c>
      <c r="O207" s="3"/>
      <c r="P207" s="3">
        <v>1609.8</v>
      </c>
      <c r="Q207" s="3">
        <v>1609.8</v>
      </c>
      <c r="R207" s="3"/>
      <c r="S207" s="3">
        <v>1609.8</v>
      </c>
      <c r="T207" s="3">
        <v>1621.1</v>
      </c>
      <c r="U207" s="3"/>
      <c r="V207" s="3">
        <v>1621.1</v>
      </c>
      <c r="W207" s="3">
        <v>1744.7</v>
      </c>
      <c r="X207" s="3"/>
      <c r="Y207" s="3">
        <v>1744.7</v>
      </c>
      <c r="Z207" s="3">
        <v>1744.7</v>
      </c>
      <c r="AA207" s="3"/>
      <c r="AB207" s="3">
        <v>1744.7</v>
      </c>
      <c r="AC207" s="3">
        <v>1744.7</v>
      </c>
      <c r="AD207" s="3"/>
      <c r="AE207" s="3">
        <v>1744.7</v>
      </c>
      <c r="AF207" s="82"/>
      <c r="AG207" s="82"/>
      <c r="AH207" s="26">
        <v>1609.8</v>
      </c>
      <c r="AI207" s="26"/>
      <c r="AJ207" s="26">
        <v>1609.8</v>
      </c>
      <c r="AK207" s="26">
        <v>1621.1</v>
      </c>
      <c r="AL207" s="26"/>
      <c r="AM207" s="26">
        <v>1621.1</v>
      </c>
      <c r="AN207" s="26">
        <v>1744.7</v>
      </c>
      <c r="AO207" s="26"/>
      <c r="AP207" s="26">
        <v>1744.7</v>
      </c>
      <c r="AQ207" s="26">
        <v>1744.7</v>
      </c>
      <c r="AR207" s="26"/>
      <c r="AS207" s="26">
        <v>1744.7</v>
      </c>
      <c r="AT207" s="26">
        <v>1744.7</v>
      </c>
      <c r="AU207" s="26"/>
      <c r="AV207" s="26">
        <v>1744.7</v>
      </c>
    </row>
    <row r="208" spans="1:48" ht="15">
      <c r="A208" s="84"/>
      <c r="B208" s="91"/>
      <c r="C208" s="10" t="s">
        <v>35</v>
      </c>
      <c r="D208" s="3">
        <v>122</v>
      </c>
      <c r="E208" s="84"/>
      <c r="F208" s="87"/>
      <c r="G208" s="84"/>
      <c r="H208" s="84"/>
      <c r="I208" s="84"/>
      <c r="J208" s="87"/>
      <c r="K208" s="91"/>
      <c r="L208" s="91"/>
      <c r="M208" s="90"/>
      <c r="N208" s="3">
        <v>6.7</v>
      </c>
      <c r="O208" s="3"/>
      <c r="P208" s="3"/>
      <c r="Q208" s="3">
        <v>6.7</v>
      </c>
      <c r="R208" s="3"/>
      <c r="S208" s="3"/>
      <c r="T208" s="3">
        <v>16.8</v>
      </c>
      <c r="U208" s="3"/>
      <c r="V208" s="3"/>
      <c r="W208" s="3">
        <v>16.8</v>
      </c>
      <c r="X208" s="3"/>
      <c r="Y208" s="3"/>
      <c r="Z208" s="3">
        <v>16.8</v>
      </c>
      <c r="AA208" s="3"/>
      <c r="AB208" s="3"/>
      <c r="AC208" s="3">
        <v>16.8</v>
      </c>
      <c r="AD208" s="3"/>
      <c r="AE208" s="3"/>
      <c r="AF208" s="82"/>
      <c r="AG208" s="82"/>
      <c r="AH208" s="26">
        <v>6.7</v>
      </c>
      <c r="AI208" s="26"/>
      <c r="AJ208" s="26"/>
      <c r="AK208" s="26">
        <v>16.8</v>
      </c>
      <c r="AL208" s="26"/>
      <c r="AM208" s="26"/>
      <c r="AN208" s="26">
        <v>16.8</v>
      </c>
      <c r="AO208" s="26"/>
      <c r="AP208" s="26"/>
      <c r="AQ208" s="26">
        <v>16.8</v>
      </c>
      <c r="AR208" s="26"/>
      <c r="AS208" s="26"/>
      <c r="AT208" s="26">
        <v>16.8</v>
      </c>
      <c r="AU208" s="26"/>
      <c r="AV208" s="26"/>
    </row>
    <row r="209" spans="1:48" ht="15">
      <c r="A209" s="84"/>
      <c r="B209" s="91"/>
      <c r="C209" s="10" t="s">
        <v>35</v>
      </c>
      <c r="D209" s="3">
        <v>129</v>
      </c>
      <c r="E209" s="84"/>
      <c r="F209" s="87"/>
      <c r="G209" s="84"/>
      <c r="H209" s="84"/>
      <c r="I209" s="84"/>
      <c r="J209" s="87"/>
      <c r="K209" s="91"/>
      <c r="L209" s="91"/>
      <c r="M209" s="90"/>
      <c r="N209" s="3">
        <v>482.8</v>
      </c>
      <c r="O209" s="3"/>
      <c r="P209" s="3">
        <v>482.8</v>
      </c>
      <c r="Q209" s="3">
        <v>482.8</v>
      </c>
      <c r="R209" s="3"/>
      <c r="S209" s="3">
        <v>482.8</v>
      </c>
      <c r="T209" s="3">
        <v>462.1</v>
      </c>
      <c r="U209" s="3"/>
      <c r="V209" s="3">
        <v>462.1</v>
      </c>
      <c r="W209" s="3">
        <v>493.9</v>
      </c>
      <c r="X209" s="3"/>
      <c r="Y209" s="3">
        <v>493.9</v>
      </c>
      <c r="Z209" s="3">
        <v>493.9</v>
      </c>
      <c r="AA209" s="3"/>
      <c r="AB209" s="3">
        <v>493.9</v>
      </c>
      <c r="AC209" s="3">
        <v>493.9</v>
      </c>
      <c r="AD209" s="3"/>
      <c r="AE209" s="3">
        <v>493.9</v>
      </c>
      <c r="AF209" s="82"/>
      <c r="AG209" s="82"/>
      <c r="AH209" s="26">
        <v>482.8</v>
      </c>
      <c r="AI209" s="26"/>
      <c r="AJ209" s="26">
        <v>482.8</v>
      </c>
      <c r="AK209" s="26">
        <v>462.1</v>
      </c>
      <c r="AL209" s="26"/>
      <c r="AM209" s="26">
        <v>462.1</v>
      </c>
      <c r="AN209" s="26">
        <v>493.9</v>
      </c>
      <c r="AO209" s="26"/>
      <c r="AP209" s="26">
        <v>493.9</v>
      </c>
      <c r="AQ209" s="26">
        <v>493.9</v>
      </c>
      <c r="AR209" s="26"/>
      <c r="AS209" s="26">
        <v>493.9</v>
      </c>
      <c r="AT209" s="26">
        <v>493.9</v>
      </c>
      <c r="AU209" s="26"/>
      <c r="AV209" s="26">
        <v>493.9</v>
      </c>
    </row>
    <row r="210" spans="1:48" ht="15">
      <c r="A210" s="84"/>
      <c r="B210" s="91"/>
      <c r="C210" s="10" t="s">
        <v>35</v>
      </c>
      <c r="D210" s="3">
        <v>244</v>
      </c>
      <c r="E210" s="84"/>
      <c r="F210" s="87"/>
      <c r="G210" s="84"/>
      <c r="H210" s="84"/>
      <c r="I210" s="84"/>
      <c r="J210" s="87"/>
      <c r="K210" s="91"/>
      <c r="L210" s="91"/>
      <c r="M210" s="90"/>
      <c r="N210" s="3">
        <v>11.8</v>
      </c>
      <c r="O210" s="3"/>
      <c r="P210" s="3"/>
      <c r="Q210" s="3">
        <v>11.8</v>
      </c>
      <c r="R210" s="3"/>
      <c r="S210" s="3"/>
      <c r="T210" s="3">
        <v>12</v>
      </c>
      <c r="U210" s="3"/>
      <c r="V210" s="3"/>
      <c r="W210" s="3">
        <v>42</v>
      </c>
      <c r="X210" s="3"/>
      <c r="Y210" s="3"/>
      <c r="Z210" s="3">
        <v>42</v>
      </c>
      <c r="AA210" s="3"/>
      <c r="AB210" s="3"/>
      <c r="AC210" s="3">
        <v>42</v>
      </c>
      <c r="AD210" s="3"/>
      <c r="AE210" s="3"/>
      <c r="AF210" s="82"/>
      <c r="AG210" s="82"/>
      <c r="AH210" s="26">
        <v>11.8</v>
      </c>
      <c r="AI210" s="26"/>
      <c r="AJ210" s="26"/>
      <c r="AK210" s="26">
        <v>12</v>
      </c>
      <c r="AL210" s="26"/>
      <c r="AM210" s="26"/>
      <c r="AN210" s="26">
        <v>42</v>
      </c>
      <c r="AO210" s="26"/>
      <c r="AP210" s="26"/>
      <c r="AQ210" s="26">
        <v>42</v>
      </c>
      <c r="AR210" s="26"/>
      <c r="AS210" s="26"/>
      <c r="AT210" s="26">
        <v>42</v>
      </c>
      <c r="AU210" s="26"/>
      <c r="AV210" s="26"/>
    </row>
    <row r="211" spans="1:48" ht="20.25" customHeight="1">
      <c r="A211" s="84"/>
      <c r="B211" s="91"/>
      <c r="C211" s="10" t="s">
        <v>26</v>
      </c>
      <c r="D211" s="3">
        <v>321</v>
      </c>
      <c r="E211" s="84"/>
      <c r="F211" s="87"/>
      <c r="G211" s="84"/>
      <c r="H211" s="84"/>
      <c r="I211" s="84"/>
      <c r="J211" s="87"/>
      <c r="K211" s="91"/>
      <c r="L211" s="91"/>
      <c r="M211" s="90"/>
      <c r="N211" s="3">
        <f>5529.9+938.7+182.8+422.1+225.5</f>
        <v>7299</v>
      </c>
      <c r="O211" s="3"/>
      <c r="P211" s="3"/>
      <c r="Q211" s="14">
        <f>5518+938.7+182.7+422.1+225.5</f>
        <v>7287</v>
      </c>
      <c r="R211" s="3"/>
      <c r="S211" s="3"/>
      <c r="T211" s="3">
        <f>6319.2+1270.4+192+443.5</f>
        <v>8225.1</v>
      </c>
      <c r="U211" s="3"/>
      <c r="V211" s="3"/>
      <c r="W211" s="3">
        <f>6568+1706.9+197.6+456.6</f>
        <v>8929.1</v>
      </c>
      <c r="X211" s="3"/>
      <c r="Y211" s="3"/>
      <c r="Z211" s="3">
        <f>6568+1706.9+197.6+456.6</f>
        <v>8929.1</v>
      </c>
      <c r="AA211" s="3"/>
      <c r="AB211" s="3"/>
      <c r="AC211" s="3">
        <f>6568+1706.9+197.6+456.6</f>
        <v>8929.1</v>
      </c>
      <c r="AD211" s="3"/>
      <c r="AE211" s="3"/>
      <c r="AF211" s="82"/>
      <c r="AG211" s="82"/>
      <c r="AH211" s="26">
        <f>5529.9+938.7+182.8+422.1+225.5</f>
        <v>7299</v>
      </c>
      <c r="AI211" s="26"/>
      <c r="AJ211" s="26"/>
      <c r="AK211" s="26">
        <f>6319.2+1270.4+192+443.5</f>
        <v>8225.1</v>
      </c>
      <c r="AL211" s="26"/>
      <c r="AM211" s="26"/>
      <c r="AN211" s="26">
        <f>6568+1706.9+197.6+456.6</f>
        <v>8929.1</v>
      </c>
      <c r="AO211" s="26"/>
      <c r="AP211" s="26"/>
      <c r="AQ211" s="26">
        <f>6568+1706.9+197.6+456.6</f>
        <v>8929.1</v>
      </c>
      <c r="AR211" s="26"/>
      <c r="AS211" s="26"/>
      <c r="AT211" s="26">
        <f>6568+1706.9+197.6+456.6</f>
        <v>8929.1</v>
      </c>
      <c r="AU211" s="26"/>
      <c r="AV211" s="26"/>
    </row>
    <row r="212" spans="1:48" ht="22.5" customHeight="1">
      <c r="A212" s="84"/>
      <c r="B212" s="91"/>
      <c r="C212" s="10" t="s">
        <v>73</v>
      </c>
      <c r="D212" s="3">
        <v>313</v>
      </c>
      <c r="E212" s="84"/>
      <c r="F212" s="87"/>
      <c r="G212" s="84"/>
      <c r="H212" s="84"/>
      <c r="I212" s="84"/>
      <c r="J212" s="87"/>
      <c r="K212" s="91"/>
      <c r="L212" s="91"/>
      <c r="M212" s="90"/>
      <c r="N212" s="14">
        <v>1088</v>
      </c>
      <c r="O212" s="3"/>
      <c r="P212" s="3"/>
      <c r="Q212" s="14">
        <v>1040</v>
      </c>
      <c r="R212" s="3"/>
      <c r="S212" s="3"/>
      <c r="T212" s="3">
        <v>1128</v>
      </c>
      <c r="U212" s="3"/>
      <c r="V212" s="3"/>
      <c r="W212" s="3">
        <v>1128</v>
      </c>
      <c r="X212" s="3"/>
      <c r="Y212" s="3"/>
      <c r="Z212" s="3">
        <v>1128</v>
      </c>
      <c r="AA212" s="3"/>
      <c r="AB212" s="3"/>
      <c r="AC212" s="3">
        <v>1128</v>
      </c>
      <c r="AD212" s="3"/>
      <c r="AE212" s="3"/>
      <c r="AF212" s="82"/>
      <c r="AG212" s="83"/>
      <c r="AH212" s="14">
        <v>1088</v>
      </c>
      <c r="AI212" s="26"/>
      <c r="AJ212" s="26"/>
      <c r="AK212" s="26">
        <v>1128</v>
      </c>
      <c r="AL212" s="26"/>
      <c r="AM212" s="26"/>
      <c r="AN212" s="26">
        <v>1128</v>
      </c>
      <c r="AO212" s="26"/>
      <c r="AP212" s="26"/>
      <c r="AQ212" s="26">
        <v>1128</v>
      </c>
      <c r="AR212" s="26"/>
      <c r="AS212" s="26"/>
      <c r="AT212" s="26">
        <v>1128</v>
      </c>
      <c r="AU212" s="26"/>
      <c r="AV212" s="26"/>
    </row>
    <row r="213" spans="1:48" s="2" customFormat="1" ht="18" customHeight="1" thickBot="1">
      <c r="A213" s="84"/>
      <c r="B213" s="91"/>
      <c r="C213" s="10" t="s">
        <v>35</v>
      </c>
      <c r="D213" s="3">
        <v>321</v>
      </c>
      <c r="E213" s="84"/>
      <c r="F213" s="87"/>
      <c r="G213" s="84"/>
      <c r="H213" s="84"/>
      <c r="I213" s="84"/>
      <c r="J213" s="87"/>
      <c r="K213" s="91"/>
      <c r="L213" s="91"/>
      <c r="M213" s="90"/>
      <c r="N213" s="3">
        <f>119.4+15.9+158.4</f>
        <v>293.70000000000005</v>
      </c>
      <c r="O213" s="3"/>
      <c r="P213" s="3"/>
      <c r="Q213" s="3">
        <f>119.4+15.9+158.4</f>
        <v>293.70000000000005</v>
      </c>
      <c r="R213" s="3"/>
      <c r="S213" s="3"/>
      <c r="T213" s="3">
        <f>70.6+35.3</f>
        <v>105.89999999999999</v>
      </c>
      <c r="U213" s="3"/>
      <c r="V213" s="3"/>
      <c r="W213" s="3">
        <v>24.6</v>
      </c>
      <c r="X213" s="3"/>
      <c r="Y213" s="3"/>
      <c r="Z213" s="3"/>
      <c r="AA213" s="3"/>
      <c r="AB213" s="3"/>
      <c r="AC213" s="3"/>
      <c r="AD213" s="3"/>
      <c r="AE213" s="3"/>
      <c r="AF213" s="82"/>
      <c r="AG213" s="130" t="s">
        <v>286</v>
      </c>
      <c r="AH213" s="26">
        <f>119.4+15.9+158.4</f>
        <v>293.70000000000005</v>
      </c>
      <c r="AI213" s="26"/>
      <c r="AJ213" s="26"/>
      <c r="AK213" s="26">
        <f>70.6+35.3</f>
        <v>105.89999999999999</v>
      </c>
      <c r="AL213" s="26"/>
      <c r="AM213" s="26"/>
      <c r="AN213" s="26">
        <v>24.6</v>
      </c>
      <c r="AO213" s="26"/>
      <c r="AP213" s="26"/>
      <c r="AQ213" s="26"/>
      <c r="AR213" s="26"/>
      <c r="AS213" s="26"/>
      <c r="AT213" s="26"/>
      <c r="AU213" s="26"/>
      <c r="AV213" s="26"/>
    </row>
    <row r="214" spans="1:48" ht="36.75" customHeight="1" hidden="1" thickBot="1">
      <c r="A214" s="84"/>
      <c r="B214" s="91"/>
      <c r="C214" s="10"/>
      <c r="D214" s="3"/>
      <c r="E214" s="84"/>
      <c r="F214" s="87"/>
      <c r="G214" s="84"/>
      <c r="H214" s="84"/>
      <c r="I214" s="84"/>
      <c r="J214" s="87"/>
      <c r="K214" s="91"/>
      <c r="L214" s="91"/>
      <c r="M214" s="90"/>
      <c r="N214" s="3"/>
      <c r="O214" s="3"/>
      <c r="P214" s="3"/>
      <c r="Q214" s="3"/>
      <c r="R214" s="3"/>
      <c r="S214" s="3"/>
      <c r="T214" s="3"/>
      <c r="U214" s="3"/>
      <c r="V214" s="3"/>
      <c r="W214" s="3"/>
      <c r="X214" s="3"/>
      <c r="Y214" s="3"/>
      <c r="Z214" s="3"/>
      <c r="AA214" s="3"/>
      <c r="AB214" s="3"/>
      <c r="AC214" s="3"/>
      <c r="AD214" s="3"/>
      <c r="AE214" s="3"/>
      <c r="AF214" s="82"/>
      <c r="AG214" s="132"/>
      <c r="AH214" s="26"/>
      <c r="AI214" s="26"/>
      <c r="AJ214" s="26"/>
      <c r="AK214" s="26"/>
      <c r="AL214" s="26"/>
      <c r="AM214" s="26"/>
      <c r="AN214" s="26"/>
      <c r="AO214" s="26"/>
      <c r="AP214" s="26"/>
      <c r="AQ214" s="26"/>
      <c r="AR214" s="26"/>
      <c r="AS214" s="26"/>
      <c r="AT214" s="26"/>
      <c r="AU214" s="26"/>
      <c r="AV214" s="26"/>
    </row>
    <row r="215" spans="1:48" s="6" customFormat="1" ht="23.25" customHeight="1" thickBot="1">
      <c r="A215" s="84"/>
      <c r="B215" s="91"/>
      <c r="C215" s="10" t="s">
        <v>35</v>
      </c>
      <c r="D215" s="3">
        <v>831</v>
      </c>
      <c r="E215" s="84"/>
      <c r="F215" s="87"/>
      <c r="G215" s="84"/>
      <c r="H215" s="84"/>
      <c r="I215" s="84"/>
      <c r="J215" s="87"/>
      <c r="K215" s="91"/>
      <c r="L215" s="91"/>
      <c r="M215" s="90"/>
      <c r="N215" s="3"/>
      <c r="O215" s="3"/>
      <c r="P215" s="3"/>
      <c r="Q215" s="3"/>
      <c r="R215" s="3"/>
      <c r="S215" s="3"/>
      <c r="T215" s="3">
        <f>50</f>
        <v>50</v>
      </c>
      <c r="U215" s="3"/>
      <c r="V215" s="3"/>
      <c r="W215" s="3">
        <v>230</v>
      </c>
      <c r="X215" s="3"/>
      <c r="Y215" s="3"/>
      <c r="Z215" s="3">
        <v>230</v>
      </c>
      <c r="AA215" s="3"/>
      <c r="AB215" s="3"/>
      <c r="AC215" s="3">
        <v>230</v>
      </c>
      <c r="AD215" s="3"/>
      <c r="AE215" s="3"/>
      <c r="AF215" s="82"/>
      <c r="AG215" s="81" t="s">
        <v>287</v>
      </c>
      <c r="AH215" s="26"/>
      <c r="AI215" s="26"/>
      <c r="AJ215" s="26"/>
      <c r="AK215" s="26">
        <f>50</f>
        <v>50</v>
      </c>
      <c r="AL215" s="26"/>
      <c r="AM215" s="26"/>
      <c r="AN215" s="26">
        <v>230</v>
      </c>
      <c r="AO215" s="26"/>
      <c r="AP215" s="26"/>
      <c r="AQ215" s="26">
        <v>230</v>
      </c>
      <c r="AR215" s="26"/>
      <c r="AS215" s="26"/>
      <c r="AT215" s="26">
        <v>230</v>
      </c>
      <c r="AU215" s="26"/>
      <c r="AV215" s="26"/>
    </row>
    <row r="216" spans="1:48" ht="19.5" customHeight="1" thickBot="1">
      <c r="A216" s="84"/>
      <c r="B216" s="91"/>
      <c r="C216" s="10" t="s">
        <v>25</v>
      </c>
      <c r="D216" s="3">
        <v>321</v>
      </c>
      <c r="E216" s="84"/>
      <c r="F216" s="87"/>
      <c r="G216" s="84"/>
      <c r="H216" s="84"/>
      <c r="I216" s="84"/>
      <c r="J216" s="87"/>
      <c r="K216" s="91"/>
      <c r="L216" s="91"/>
      <c r="M216" s="90"/>
      <c r="N216" s="3"/>
      <c r="O216" s="3"/>
      <c r="P216" s="3"/>
      <c r="Q216" s="3"/>
      <c r="R216" s="3"/>
      <c r="S216" s="3"/>
      <c r="T216" s="3"/>
      <c r="U216" s="3"/>
      <c r="V216" s="3"/>
      <c r="W216" s="3"/>
      <c r="X216" s="3"/>
      <c r="Y216" s="3"/>
      <c r="Z216" s="3"/>
      <c r="AA216" s="3"/>
      <c r="AB216" s="3"/>
      <c r="AC216" s="3"/>
      <c r="AD216" s="3"/>
      <c r="AE216" s="3"/>
      <c r="AF216" s="83"/>
      <c r="AG216" s="83"/>
      <c r="AH216" s="26"/>
      <c r="AI216" s="26"/>
      <c r="AJ216" s="26"/>
      <c r="AK216" s="26"/>
      <c r="AL216" s="26"/>
      <c r="AM216" s="26"/>
      <c r="AN216" s="26"/>
      <c r="AO216" s="26"/>
      <c r="AP216" s="26"/>
      <c r="AQ216" s="26"/>
      <c r="AR216" s="26"/>
      <c r="AS216" s="26"/>
      <c r="AT216" s="26"/>
      <c r="AU216" s="26"/>
      <c r="AV216" s="26"/>
    </row>
    <row r="217" spans="1:48" s="5" customFormat="1" ht="21.75" customHeight="1" thickBot="1">
      <c r="A217" s="20" t="s">
        <v>116</v>
      </c>
      <c r="B217" s="4">
        <v>2202</v>
      </c>
      <c r="C217" s="10" t="s">
        <v>78</v>
      </c>
      <c r="D217" s="3">
        <v>730</v>
      </c>
      <c r="E217" s="54"/>
      <c r="F217" s="53"/>
      <c r="G217" s="54"/>
      <c r="H217" s="54"/>
      <c r="I217" s="54"/>
      <c r="J217" s="53"/>
      <c r="K217" s="54"/>
      <c r="L217" s="56"/>
      <c r="M217" s="33"/>
      <c r="N217" s="14">
        <v>0</v>
      </c>
      <c r="O217" s="3"/>
      <c r="P217" s="3"/>
      <c r="Q217" s="3">
        <v>0</v>
      </c>
      <c r="R217" s="3"/>
      <c r="S217" s="3"/>
      <c r="T217" s="3">
        <v>0</v>
      </c>
      <c r="U217" s="3"/>
      <c r="V217" s="3"/>
      <c r="W217" s="3">
        <v>0</v>
      </c>
      <c r="X217" s="3"/>
      <c r="Y217" s="3"/>
      <c r="Z217" s="3">
        <v>0</v>
      </c>
      <c r="AA217" s="3"/>
      <c r="AB217" s="3"/>
      <c r="AC217" s="3">
        <v>0</v>
      </c>
      <c r="AD217" s="3"/>
      <c r="AE217" s="3"/>
      <c r="AF217" s="46" t="s">
        <v>284</v>
      </c>
      <c r="AG217" s="58"/>
      <c r="AH217" s="14">
        <v>0</v>
      </c>
      <c r="AI217" s="26"/>
      <c r="AJ217" s="26"/>
      <c r="AK217" s="26">
        <v>0</v>
      </c>
      <c r="AL217" s="26"/>
      <c r="AM217" s="26"/>
      <c r="AN217" s="26">
        <v>0</v>
      </c>
      <c r="AO217" s="26"/>
      <c r="AP217" s="26"/>
      <c r="AQ217" s="26">
        <v>0</v>
      </c>
      <c r="AR217" s="26"/>
      <c r="AS217" s="26"/>
      <c r="AT217" s="26">
        <v>0</v>
      </c>
      <c r="AU217" s="26"/>
      <c r="AV217" s="26"/>
    </row>
    <row r="218" spans="1:48" s="2" customFormat="1" ht="19.5" customHeight="1">
      <c r="A218" s="18"/>
      <c r="B218" s="4"/>
      <c r="C218" s="10"/>
      <c r="D218" s="3"/>
      <c r="E218" s="52"/>
      <c r="F218" s="52"/>
      <c r="G218" s="52"/>
      <c r="H218" s="52"/>
      <c r="I218" s="52"/>
      <c r="J218" s="52"/>
      <c r="K218" s="52"/>
      <c r="L218" s="56"/>
      <c r="M218" s="7"/>
      <c r="N218" s="3">
        <f>SUM(N219+N220+N221+N222+N223)</f>
        <v>2827.3999999999996</v>
      </c>
      <c r="O218" s="3">
        <f aca="true" t="shared" si="58" ref="O218:AB218">SUM(O219+O220+O221+O222+O223)</f>
        <v>0</v>
      </c>
      <c r="P218" s="3">
        <f t="shared" si="58"/>
        <v>0</v>
      </c>
      <c r="Q218" s="3">
        <f t="shared" si="58"/>
        <v>2827.3999999999996</v>
      </c>
      <c r="R218" s="3">
        <f t="shared" si="58"/>
        <v>0</v>
      </c>
      <c r="S218" s="3">
        <f t="shared" si="58"/>
        <v>0</v>
      </c>
      <c r="T218" s="3">
        <f t="shared" si="58"/>
        <v>0</v>
      </c>
      <c r="U218" s="3">
        <f t="shared" si="58"/>
        <v>0</v>
      </c>
      <c r="V218" s="3">
        <f t="shared" si="58"/>
        <v>0</v>
      </c>
      <c r="W218" s="3">
        <f t="shared" si="58"/>
        <v>0</v>
      </c>
      <c r="X218" s="3">
        <f t="shared" si="58"/>
        <v>0</v>
      </c>
      <c r="Y218" s="3">
        <f t="shared" si="58"/>
        <v>0</v>
      </c>
      <c r="Z218" s="3">
        <f t="shared" si="58"/>
        <v>0</v>
      </c>
      <c r="AA218" s="3">
        <f t="shared" si="58"/>
        <v>0</v>
      </c>
      <c r="AB218" s="3">
        <f t="shared" si="58"/>
        <v>0</v>
      </c>
      <c r="AC218" s="3">
        <f>SUM(AC219+AC220+AC221+AC222+AC223)</f>
        <v>0</v>
      </c>
      <c r="AD218" s="3">
        <f>SUM(AD219+AD220+AD221+AD222+AD223)</f>
        <v>0</v>
      </c>
      <c r="AE218" s="3">
        <f>SUM(AE219+AE220+AE221+AE222+AE223)</f>
        <v>0</v>
      </c>
      <c r="AF218" s="12"/>
      <c r="AG218" s="58"/>
      <c r="AH218" s="26">
        <f>SUM(AH219+AH220+AH221+AH222+AH223)</f>
        <v>2827.3999999999996</v>
      </c>
      <c r="AI218" s="26">
        <f aca="true" t="shared" si="59" ref="AI218:AS218">SUM(AI219+AI220+AI221+AI222+AI223)</f>
        <v>0</v>
      </c>
      <c r="AJ218" s="26">
        <f t="shared" si="59"/>
        <v>0</v>
      </c>
      <c r="AK218" s="26">
        <f t="shared" si="59"/>
        <v>0</v>
      </c>
      <c r="AL218" s="26">
        <f t="shared" si="59"/>
        <v>0</v>
      </c>
      <c r="AM218" s="26">
        <f t="shared" si="59"/>
        <v>0</v>
      </c>
      <c r="AN218" s="26">
        <f t="shared" si="59"/>
        <v>0</v>
      </c>
      <c r="AO218" s="26">
        <f t="shared" si="59"/>
        <v>0</v>
      </c>
      <c r="AP218" s="26">
        <f t="shared" si="59"/>
        <v>0</v>
      </c>
      <c r="AQ218" s="26">
        <f t="shared" si="59"/>
        <v>0</v>
      </c>
      <c r="AR218" s="26">
        <f t="shared" si="59"/>
        <v>0</v>
      </c>
      <c r="AS218" s="26">
        <f t="shared" si="59"/>
        <v>0</v>
      </c>
      <c r="AT218" s="26">
        <f>SUM(AT219+AT220+AT221+AT222+AT223)</f>
        <v>0</v>
      </c>
      <c r="AU218" s="26">
        <f>SUM(AU219+AU220+AU221+AU222+AU223)</f>
        <v>0</v>
      </c>
      <c r="AV218" s="26">
        <f>SUM(AV219+AV220+AV221+AV222+AV223)</f>
        <v>0</v>
      </c>
    </row>
    <row r="219" spans="1:48" ht="20.25" customHeight="1">
      <c r="A219" s="84" t="s">
        <v>98</v>
      </c>
      <c r="B219" s="91">
        <v>2203</v>
      </c>
      <c r="C219" s="10" t="s">
        <v>65</v>
      </c>
      <c r="D219" s="3">
        <v>810</v>
      </c>
      <c r="E219" s="106" t="s">
        <v>165</v>
      </c>
      <c r="F219" s="114" t="s">
        <v>227</v>
      </c>
      <c r="G219" s="106" t="s">
        <v>159</v>
      </c>
      <c r="H219" s="106"/>
      <c r="I219" s="106"/>
      <c r="J219" s="114"/>
      <c r="K219" s="106" t="s">
        <v>137</v>
      </c>
      <c r="L219" s="84" t="s">
        <v>120</v>
      </c>
      <c r="M219" s="90" t="s">
        <v>126</v>
      </c>
      <c r="N219" s="3"/>
      <c r="O219" s="3"/>
      <c r="P219" s="3"/>
      <c r="Q219" s="3"/>
      <c r="R219" s="3"/>
      <c r="S219" s="3"/>
      <c r="T219" s="3"/>
      <c r="U219" s="3"/>
      <c r="V219" s="3"/>
      <c r="W219" s="3"/>
      <c r="X219" s="3"/>
      <c r="Y219" s="3"/>
      <c r="Z219" s="3"/>
      <c r="AA219" s="3"/>
      <c r="AB219" s="3"/>
      <c r="AC219" s="3"/>
      <c r="AD219" s="3"/>
      <c r="AE219" s="3"/>
      <c r="AF219" s="59"/>
      <c r="AG219" s="81" t="s">
        <v>287</v>
      </c>
      <c r="AH219" s="26"/>
      <c r="AI219" s="26"/>
      <c r="AJ219" s="26"/>
      <c r="AK219" s="26"/>
      <c r="AL219" s="26"/>
      <c r="AM219" s="26"/>
      <c r="AN219" s="26"/>
      <c r="AO219" s="26"/>
      <c r="AP219" s="26"/>
      <c r="AQ219" s="26"/>
      <c r="AR219" s="26"/>
      <c r="AS219" s="26"/>
      <c r="AT219" s="26"/>
      <c r="AU219" s="26"/>
      <c r="AV219" s="26"/>
    </row>
    <row r="220" spans="1:48" ht="25.5" customHeight="1">
      <c r="A220" s="84"/>
      <c r="B220" s="91"/>
      <c r="C220" s="10" t="s">
        <v>65</v>
      </c>
      <c r="D220" s="3">
        <v>814</v>
      </c>
      <c r="E220" s="106"/>
      <c r="F220" s="114"/>
      <c r="G220" s="106"/>
      <c r="H220" s="106"/>
      <c r="I220" s="106"/>
      <c r="J220" s="114"/>
      <c r="K220" s="106"/>
      <c r="L220" s="84"/>
      <c r="M220" s="90"/>
      <c r="N220" s="3">
        <v>592.3</v>
      </c>
      <c r="O220" s="3"/>
      <c r="P220" s="3"/>
      <c r="Q220" s="3">
        <v>592.3</v>
      </c>
      <c r="R220" s="3"/>
      <c r="S220" s="3"/>
      <c r="T220" s="3"/>
      <c r="U220" s="3"/>
      <c r="V220" s="3"/>
      <c r="W220" s="3"/>
      <c r="X220" s="3"/>
      <c r="Y220" s="3"/>
      <c r="Z220" s="3"/>
      <c r="AA220" s="3"/>
      <c r="AB220" s="3"/>
      <c r="AC220" s="3"/>
      <c r="AD220" s="3"/>
      <c r="AE220" s="3"/>
      <c r="AF220" s="59"/>
      <c r="AG220" s="82"/>
      <c r="AH220" s="26">
        <v>592.3</v>
      </c>
      <c r="AI220" s="26"/>
      <c r="AJ220" s="26"/>
      <c r="AK220" s="26"/>
      <c r="AL220" s="26"/>
      <c r="AM220" s="26"/>
      <c r="AN220" s="26"/>
      <c r="AO220" s="26"/>
      <c r="AP220" s="26"/>
      <c r="AQ220" s="26"/>
      <c r="AR220" s="26"/>
      <c r="AS220" s="26"/>
      <c r="AT220" s="26"/>
      <c r="AU220" s="26"/>
      <c r="AV220" s="26"/>
    </row>
    <row r="221" spans="1:48" ht="24" customHeight="1">
      <c r="A221" s="84"/>
      <c r="B221" s="91"/>
      <c r="C221" s="10" t="s">
        <v>25</v>
      </c>
      <c r="D221" s="3">
        <v>810</v>
      </c>
      <c r="E221" s="106"/>
      <c r="F221" s="114"/>
      <c r="G221" s="106"/>
      <c r="H221" s="106"/>
      <c r="I221" s="106"/>
      <c r="J221" s="114"/>
      <c r="K221" s="106"/>
      <c r="L221" s="84"/>
      <c r="M221" s="90"/>
      <c r="N221" s="3"/>
      <c r="O221" s="3"/>
      <c r="P221" s="3"/>
      <c r="Q221" s="3"/>
      <c r="R221" s="3"/>
      <c r="S221" s="3"/>
      <c r="T221" s="3"/>
      <c r="U221" s="3"/>
      <c r="V221" s="3"/>
      <c r="W221" s="3"/>
      <c r="X221" s="3"/>
      <c r="Y221" s="3"/>
      <c r="Z221" s="3"/>
      <c r="AA221" s="3"/>
      <c r="AB221" s="3"/>
      <c r="AC221" s="3"/>
      <c r="AD221" s="3"/>
      <c r="AE221" s="3"/>
      <c r="AF221" s="59"/>
      <c r="AG221" s="82"/>
      <c r="AH221" s="26"/>
      <c r="AI221" s="26"/>
      <c r="AJ221" s="26"/>
      <c r="AK221" s="26"/>
      <c r="AL221" s="26"/>
      <c r="AM221" s="26"/>
      <c r="AN221" s="26"/>
      <c r="AO221" s="26"/>
      <c r="AP221" s="26"/>
      <c r="AQ221" s="26"/>
      <c r="AR221" s="26"/>
      <c r="AS221" s="26"/>
      <c r="AT221" s="26"/>
      <c r="AU221" s="26"/>
      <c r="AV221" s="26"/>
    </row>
    <row r="222" spans="1:48" ht="22.5" customHeight="1">
      <c r="A222" s="84"/>
      <c r="B222" s="91"/>
      <c r="C222" s="10" t="s">
        <v>25</v>
      </c>
      <c r="D222" s="3">
        <v>814</v>
      </c>
      <c r="E222" s="106"/>
      <c r="F222" s="114"/>
      <c r="G222" s="106"/>
      <c r="H222" s="106"/>
      <c r="I222" s="106"/>
      <c r="J222" s="114"/>
      <c r="K222" s="106"/>
      <c r="L222" s="84"/>
      <c r="M222" s="90"/>
      <c r="N222" s="3">
        <v>2235.1</v>
      </c>
      <c r="O222" s="3"/>
      <c r="P222" s="3"/>
      <c r="Q222" s="3">
        <v>2235.1</v>
      </c>
      <c r="R222" s="3"/>
      <c r="S222" s="3"/>
      <c r="T222" s="3"/>
      <c r="U222" s="3"/>
      <c r="V222" s="3"/>
      <c r="W222" s="3"/>
      <c r="X222" s="3"/>
      <c r="Y222" s="3"/>
      <c r="Z222" s="3"/>
      <c r="AA222" s="3"/>
      <c r="AB222" s="3"/>
      <c r="AC222" s="3"/>
      <c r="AD222" s="3"/>
      <c r="AE222" s="3"/>
      <c r="AF222" s="59"/>
      <c r="AG222" s="82"/>
      <c r="AH222" s="26">
        <v>2235.1</v>
      </c>
      <c r="AI222" s="26"/>
      <c r="AJ222" s="26"/>
      <c r="AK222" s="26"/>
      <c r="AL222" s="26"/>
      <c r="AM222" s="26"/>
      <c r="AN222" s="26"/>
      <c r="AO222" s="26"/>
      <c r="AP222" s="26"/>
      <c r="AQ222" s="26"/>
      <c r="AR222" s="26"/>
      <c r="AS222" s="26"/>
      <c r="AT222" s="26"/>
      <c r="AU222" s="26"/>
      <c r="AV222" s="26"/>
    </row>
    <row r="223" spans="1:48" ht="22.5" customHeight="1">
      <c r="A223" s="84"/>
      <c r="B223" s="91"/>
      <c r="C223" s="10" t="s">
        <v>25</v>
      </c>
      <c r="D223" s="3">
        <v>831</v>
      </c>
      <c r="E223" s="106"/>
      <c r="F223" s="114"/>
      <c r="G223" s="106"/>
      <c r="H223" s="106"/>
      <c r="I223" s="106"/>
      <c r="J223" s="114"/>
      <c r="K223" s="106"/>
      <c r="L223" s="84"/>
      <c r="M223" s="90"/>
      <c r="N223" s="3"/>
      <c r="O223" s="3"/>
      <c r="P223" s="3"/>
      <c r="Q223" s="3"/>
      <c r="R223" s="3"/>
      <c r="S223" s="3"/>
      <c r="T223" s="3"/>
      <c r="U223" s="3"/>
      <c r="V223" s="3"/>
      <c r="W223" s="3"/>
      <c r="X223" s="3"/>
      <c r="Y223" s="3"/>
      <c r="Z223" s="3"/>
      <c r="AA223" s="3"/>
      <c r="AB223" s="3"/>
      <c r="AC223" s="3"/>
      <c r="AD223" s="3"/>
      <c r="AE223" s="3"/>
      <c r="AF223" s="59"/>
      <c r="AG223" s="83"/>
      <c r="AH223" s="26"/>
      <c r="AI223" s="26"/>
      <c r="AJ223" s="26"/>
      <c r="AK223" s="26"/>
      <c r="AL223" s="26"/>
      <c r="AM223" s="26"/>
      <c r="AN223" s="26"/>
      <c r="AO223" s="26"/>
      <c r="AP223" s="26"/>
      <c r="AQ223" s="26"/>
      <c r="AR223" s="26"/>
      <c r="AS223" s="26"/>
      <c r="AT223" s="26"/>
      <c r="AU223" s="26"/>
      <c r="AV223" s="26"/>
    </row>
    <row r="224" spans="1:48" s="2" customFormat="1" ht="21" customHeight="1">
      <c r="A224" s="18"/>
      <c r="B224" s="4"/>
      <c r="C224" s="10"/>
      <c r="D224" s="3"/>
      <c r="E224" s="58"/>
      <c r="F224" s="57"/>
      <c r="G224" s="58"/>
      <c r="H224" s="58"/>
      <c r="I224" s="58"/>
      <c r="J224" s="57"/>
      <c r="K224" s="58"/>
      <c r="L224" s="39"/>
      <c r="M224" s="53"/>
      <c r="N224" s="14">
        <f>SUM(N225+N226+N227+N228+N229+N230+N231+N232+N233+N234+N235+N236+N237+N238+N239)</f>
        <v>42528.099999999984</v>
      </c>
      <c r="O224" s="14">
        <f aca="true" t="shared" si="60" ref="O224:AB224">SUM(O225+O226+O227+O228+O229+O230+O231+O232+O233+O234+O235+O236+O237+O238+O239)</f>
        <v>648.4</v>
      </c>
      <c r="P224" s="14">
        <f t="shared" si="60"/>
        <v>29438.3</v>
      </c>
      <c r="Q224" s="14">
        <f t="shared" si="60"/>
        <v>41821.1</v>
      </c>
      <c r="R224" s="14">
        <f t="shared" si="60"/>
        <v>632.8000000000001</v>
      </c>
      <c r="S224" s="14">
        <f t="shared" si="60"/>
        <v>29330.300000000003</v>
      </c>
      <c r="T224" s="14">
        <f t="shared" si="60"/>
        <v>40705.1</v>
      </c>
      <c r="U224" s="14">
        <f t="shared" si="60"/>
        <v>1892.2</v>
      </c>
      <c r="V224" s="14">
        <f t="shared" si="60"/>
        <v>29475.3</v>
      </c>
      <c r="W224" s="14">
        <f t="shared" si="60"/>
        <v>42674.4</v>
      </c>
      <c r="X224" s="14">
        <f t="shared" si="60"/>
        <v>1169.4</v>
      </c>
      <c r="Y224" s="14">
        <f t="shared" si="60"/>
        <v>31969.000000000004</v>
      </c>
      <c r="Z224" s="14">
        <f t="shared" si="60"/>
        <v>42674.4</v>
      </c>
      <c r="AA224" s="14">
        <f t="shared" si="60"/>
        <v>1169.4</v>
      </c>
      <c r="AB224" s="14">
        <f t="shared" si="60"/>
        <v>31969.000000000004</v>
      </c>
      <c r="AC224" s="14">
        <f>SUM(AC225+AC226+AC227+AC228+AC229+AC230+AC231+AC232+AC233+AC234+AC235+AC236+AC237+AC238+AC239)</f>
        <v>42674.4</v>
      </c>
      <c r="AD224" s="14">
        <f>SUM(AD225+AD226+AD227+AD228+AD229+AD230+AD231+AD232+AD233+AD234+AD235+AD236+AD237+AD238+AD239)</f>
        <v>1169.4</v>
      </c>
      <c r="AE224" s="14">
        <f>SUM(AE225+AE226+AE227+AE228+AE229+AE230+AE231+AE232+AE233+AE234+AE235+AE236+AE237+AE238+AE239)</f>
        <v>31969.000000000004</v>
      </c>
      <c r="AF224" s="12"/>
      <c r="AG224" s="58"/>
      <c r="AH224" s="14">
        <f>SUM(AH225+AH226+AH227+AH228+AH229+AH230+AH231+AH232+AH233+AH234+AH235+AH236+AH237+AH238+AH239)</f>
        <v>42528.099999999984</v>
      </c>
      <c r="AI224" s="14">
        <f aca="true" t="shared" si="61" ref="AI224:AS224">SUM(AI225+AI226+AI227+AI228+AI229+AI230+AI231+AI232+AI233+AI234+AI235+AI236+AI237+AI238+AI239)</f>
        <v>648.4</v>
      </c>
      <c r="AJ224" s="14">
        <f t="shared" si="61"/>
        <v>29438.3</v>
      </c>
      <c r="AK224" s="14">
        <f t="shared" si="61"/>
        <v>40705.1</v>
      </c>
      <c r="AL224" s="14">
        <f t="shared" si="61"/>
        <v>1892.2</v>
      </c>
      <c r="AM224" s="14">
        <f t="shared" si="61"/>
        <v>29475.3</v>
      </c>
      <c r="AN224" s="14">
        <f t="shared" si="61"/>
        <v>42674.4</v>
      </c>
      <c r="AO224" s="14">
        <f t="shared" si="61"/>
        <v>1169.4</v>
      </c>
      <c r="AP224" s="14">
        <f t="shared" si="61"/>
        <v>31969.000000000004</v>
      </c>
      <c r="AQ224" s="14">
        <f t="shared" si="61"/>
        <v>42674.4</v>
      </c>
      <c r="AR224" s="14">
        <f t="shared" si="61"/>
        <v>1169.4</v>
      </c>
      <c r="AS224" s="14">
        <f t="shared" si="61"/>
        <v>31969.000000000004</v>
      </c>
      <c r="AT224" s="14">
        <f>SUM(AT225+AT226+AT227+AT228+AT229+AT230+AT231+AT232+AT233+AT234+AT235+AT236+AT237+AT238+AT239)</f>
        <v>42674.4</v>
      </c>
      <c r="AU224" s="14">
        <f>SUM(AU225+AU226+AU227+AU228+AU229+AU230+AU231+AU232+AU233+AU234+AU235+AU236+AU237+AU238+AU239)</f>
        <v>1169.4</v>
      </c>
      <c r="AV224" s="14">
        <f>SUM(AV225+AV226+AV227+AV228+AV229+AV230+AV231+AV232+AV233+AV234+AV235+AV236+AV237+AV238+AV239)</f>
        <v>31969.000000000004</v>
      </c>
    </row>
    <row r="225" spans="1:48" ht="25.5" customHeight="1">
      <c r="A225" s="84" t="s">
        <v>97</v>
      </c>
      <c r="B225" s="91">
        <v>2206</v>
      </c>
      <c r="C225" s="10" t="s">
        <v>35</v>
      </c>
      <c r="D225" s="3">
        <v>111</v>
      </c>
      <c r="E225" s="84" t="s">
        <v>165</v>
      </c>
      <c r="F225" s="87" t="s">
        <v>228</v>
      </c>
      <c r="G225" s="84" t="s">
        <v>159</v>
      </c>
      <c r="H225" s="84"/>
      <c r="I225" s="84"/>
      <c r="J225" s="87"/>
      <c r="K225" s="84" t="s">
        <v>137</v>
      </c>
      <c r="L225" s="84" t="s">
        <v>120</v>
      </c>
      <c r="M225" s="90" t="s">
        <v>126</v>
      </c>
      <c r="N225" s="3">
        <f>4658.3+8615.2</f>
        <v>13273.5</v>
      </c>
      <c r="O225" s="3"/>
      <c r="P225" s="3">
        <f>4658.3+8615.2</f>
        <v>13273.5</v>
      </c>
      <c r="Q225" s="3">
        <f>4658.3+8615.2</f>
        <v>13273.5</v>
      </c>
      <c r="R225" s="3"/>
      <c r="S225" s="3">
        <f>4658.3+8615.2</f>
        <v>13273.5</v>
      </c>
      <c r="T225" s="3">
        <f>4645.3+9128.6</f>
        <v>13773.900000000001</v>
      </c>
      <c r="U225" s="3"/>
      <c r="V225" s="3">
        <f>4645.3+9128.6</f>
        <v>13773.900000000001</v>
      </c>
      <c r="W225" s="3">
        <f>4991.3+9781.6</f>
        <v>14772.900000000001</v>
      </c>
      <c r="X225" s="3"/>
      <c r="Y225" s="3">
        <f>4991.3+9781.6</f>
        <v>14772.900000000001</v>
      </c>
      <c r="Z225" s="3">
        <f>4991.3+9781.6</f>
        <v>14772.900000000001</v>
      </c>
      <c r="AA225" s="3"/>
      <c r="AB225" s="3">
        <f>4991.3+9781.6</f>
        <v>14772.900000000001</v>
      </c>
      <c r="AC225" s="3">
        <f>4991.3+9781.6</f>
        <v>14772.900000000001</v>
      </c>
      <c r="AD225" s="3"/>
      <c r="AE225" s="3">
        <f>4991.3+9781.6</f>
        <v>14772.900000000001</v>
      </c>
      <c r="AF225" s="81" t="s">
        <v>284</v>
      </c>
      <c r="AG225" s="81" t="s">
        <v>287</v>
      </c>
      <c r="AH225" s="26">
        <f>4658.3+8615.2</f>
        <v>13273.5</v>
      </c>
      <c r="AI225" s="26"/>
      <c r="AJ225" s="26">
        <f>4658.3+8615.2</f>
        <v>13273.5</v>
      </c>
      <c r="AK225" s="26">
        <f>4645.3+9128.6</f>
        <v>13773.900000000001</v>
      </c>
      <c r="AL225" s="26"/>
      <c r="AM225" s="26">
        <f>4645.3+9128.6</f>
        <v>13773.900000000001</v>
      </c>
      <c r="AN225" s="26">
        <f>4991.3+9781.6</f>
        <v>14772.900000000001</v>
      </c>
      <c r="AO225" s="26"/>
      <c r="AP225" s="26">
        <f>4991.3+9781.6</f>
        <v>14772.900000000001</v>
      </c>
      <c r="AQ225" s="26">
        <f>4991.3+9781.6</f>
        <v>14772.900000000001</v>
      </c>
      <c r="AR225" s="26"/>
      <c r="AS225" s="26">
        <f>4991.3+9781.6</f>
        <v>14772.900000000001</v>
      </c>
      <c r="AT225" s="26">
        <f>4991.3+9781.6</f>
        <v>14772.900000000001</v>
      </c>
      <c r="AU225" s="26"/>
      <c r="AV225" s="26">
        <f>4991.3+9781.6</f>
        <v>14772.900000000001</v>
      </c>
    </row>
    <row r="226" spans="1:48" ht="14.25" customHeight="1">
      <c r="A226" s="84"/>
      <c r="B226" s="91"/>
      <c r="C226" s="10" t="s">
        <v>35</v>
      </c>
      <c r="D226" s="3">
        <v>112</v>
      </c>
      <c r="E226" s="84"/>
      <c r="F226" s="87"/>
      <c r="G226" s="84"/>
      <c r="H226" s="84"/>
      <c r="I226" s="84"/>
      <c r="J226" s="87"/>
      <c r="K226" s="84"/>
      <c r="L226" s="84"/>
      <c r="M226" s="90"/>
      <c r="N226" s="3">
        <f>105.2+4.6</f>
        <v>109.8</v>
      </c>
      <c r="O226" s="3"/>
      <c r="P226" s="3"/>
      <c r="Q226" s="3">
        <f>105.1+4.6</f>
        <v>109.69999999999999</v>
      </c>
      <c r="R226" s="3"/>
      <c r="S226" s="3"/>
      <c r="T226" s="3">
        <f>105.2+4.2</f>
        <v>109.4</v>
      </c>
      <c r="U226" s="3"/>
      <c r="V226" s="3"/>
      <c r="W226" s="3">
        <f>105.2+16.4</f>
        <v>121.6</v>
      </c>
      <c r="X226" s="3"/>
      <c r="Y226" s="3"/>
      <c r="Z226" s="3">
        <f>105.2+16.4</f>
        <v>121.6</v>
      </c>
      <c r="AA226" s="3"/>
      <c r="AB226" s="3"/>
      <c r="AC226" s="3">
        <f>105.2+16.4</f>
        <v>121.6</v>
      </c>
      <c r="AD226" s="3"/>
      <c r="AE226" s="3"/>
      <c r="AF226" s="82"/>
      <c r="AG226" s="82"/>
      <c r="AH226" s="26">
        <f>105.2+4.6</f>
        <v>109.8</v>
      </c>
      <c r="AI226" s="26"/>
      <c r="AJ226" s="26"/>
      <c r="AK226" s="26">
        <f>105.2+4.2</f>
        <v>109.4</v>
      </c>
      <c r="AL226" s="26"/>
      <c r="AM226" s="26"/>
      <c r="AN226" s="26">
        <f>105.2+16.4</f>
        <v>121.6</v>
      </c>
      <c r="AO226" s="26"/>
      <c r="AP226" s="26"/>
      <c r="AQ226" s="26">
        <f>105.2+16.4</f>
        <v>121.6</v>
      </c>
      <c r="AR226" s="26"/>
      <c r="AS226" s="26"/>
      <c r="AT226" s="26">
        <f>105.2+16.4</f>
        <v>121.6</v>
      </c>
      <c r="AU226" s="26"/>
      <c r="AV226" s="26"/>
    </row>
    <row r="227" spans="1:48" ht="15" customHeight="1">
      <c r="A227" s="84"/>
      <c r="B227" s="91"/>
      <c r="C227" s="10" t="s">
        <v>35</v>
      </c>
      <c r="D227" s="3">
        <v>119</v>
      </c>
      <c r="E227" s="84"/>
      <c r="F227" s="87"/>
      <c r="G227" s="84"/>
      <c r="H227" s="84"/>
      <c r="I227" s="84"/>
      <c r="J227" s="87"/>
      <c r="K227" s="84"/>
      <c r="L227" s="84"/>
      <c r="M227" s="90"/>
      <c r="N227" s="3">
        <f>1406.9+2712</f>
        <v>4118.9</v>
      </c>
      <c r="O227" s="3"/>
      <c r="P227" s="3">
        <f>1406.9+2712</f>
        <v>4118.9</v>
      </c>
      <c r="Q227" s="3">
        <f>1373.9+2712</f>
        <v>4085.9</v>
      </c>
      <c r="R227" s="3"/>
      <c r="S227" s="3">
        <f>1373.9+2712</f>
        <v>4085.9</v>
      </c>
      <c r="T227" s="3">
        <f>1341.8+2610</f>
        <v>3951.8</v>
      </c>
      <c r="U227" s="3"/>
      <c r="V227" s="3">
        <f>1341.8+2610</f>
        <v>3951.8</v>
      </c>
      <c r="W227" s="3">
        <f>1507.4+2954</f>
        <v>4461.4</v>
      </c>
      <c r="X227" s="3"/>
      <c r="Y227" s="3">
        <f>1507.4+2954</f>
        <v>4461.4</v>
      </c>
      <c r="Z227" s="3">
        <f>1507.4+2954</f>
        <v>4461.4</v>
      </c>
      <c r="AA227" s="3"/>
      <c r="AB227" s="3">
        <f>1507.4+2954</f>
        <v>4461.4</v>
      </c>
      <c r="AC227" s="3">
        <f>1507.4+2954</f>
        <v>4461.4</v>
      </c>
      <c r="AD227" s="3"/>
      <c r="AE227" s="3">
        <f>1507.4+2954</f>
        <v>4461.4</v>
      </c>
      <c r="AF227" s="82"/>
      <c r="AG227" s="82"/>
      <c r="AH227" s="26">
        <f>1406.9+2712</f>
        <v>4118.9</v>
      </c>
      <c r="AI227" s="26"/>
      <c r="AJ227" s="26">
        <f>1406.9+2712</f>
        <v>4118.9</v>
      </c>
      <c r="AK227" s="26">
        <f>1341.8+2610</f>
        <v>3951.8</v>
      </c>
      <c r="AL227" s="26"/>
      <c r="AM227" s="26">
        <f>1341.8+2610</f>
        <v>3951.8</v>
      </c>
      <c r="AN227" s="26">
        <f>1507.4+2954</f>
        <v>4461.4</v>
      </c>
      <c r="AO227" s="26"/>
      <c r="AP227" s="26">
        <f>1507.4+2954</f>
        <v>4461.4</v>
      </c>
      <c r="AQ227" s="26">
        <f>1507.4+2954</f>
        <v>4461.4</v>
      </c>
      <c r="AR227" s="26"/>
      <c r="AS227" s="26">
        <f>1507.4+2954</f>
        <v>4461.4</v>
      </c>
      <c r="AT227" s="26">
        <f>1507.4+2954</f>
        <v>4461.4</v>
      </c>
      <c r="AU227" s="26"/>
      <c r="AV227" s="26">
        <f>1507.4+2954</f>
        <v>4461.4</v>
      </c>
    </row>
    <row r="228" spans="1:48" ht="15" customHeight="1">
      <c r="A228" s="84"/>
      <c r="B228" s="91"/>
      <c r="C228" s="10" t="s">
        <v>35</v>
      </c>
      <c r="D228" s="3">
        <v>244</v>
      </c>
      <c r="E228" s="84"/>
      <c r="F228" s="87"/>
      <c r="G228" s="84"/>
      <c r="H228" s="84"/>
      <c r="I228" s="84"/>
      <c r="J228" s="87"/>
      <c r="K228" s="84"/>
      <c r="L228" s="84"/>
      <c r="M228" s="90"/>
      <c r="N228" s="3">
        <f>9186+1729.3</f>
        <v>10915.3</v>
      </c>
      <c r="O228" s="3">
        <f>526.4+80.3+30</f>
        <v>636.6999999999999</v>
      </c>
      <c r="P228" s="3"/>
      <c r="Q228" s="3">
        <f>8791+1729.3</f>
        <v>10520.3</v>
      </c>
      <c r="R228" s="3">
        <f>510.8+80.3+30</f>
        <v>621.1</v>
      </c>
      <c r="S228" s="3"/>
      <c r="T228" s="3">
        <f>8718.5+719.8</f>
        <v>9438.3</v>
      </c>
      <c r="U228" s="3">
        <f>1800</f>
        <v>1800</v>
      </c>
      <c r="V228" s="3"/>
      <c r="W228" s="14">
        <f>7633+1058.7</f>
        <v>8691.7</v>
      </c>
      <c r="X228" s="3">
        <f>946+68</f>
        <v>1014</v>
      </c>
      <c r="Y228" s="3"/>
      <c r="Z228" s="14">
        <f>7633+1058.7</f>
        <v>8691.7</v>
      </c>
      <c r="AA228" s="3">
        <f>946+68</f>
        <v>1014</v>
      </c>
      <c r="AB228" s="3"/>
      <c r="AC228" s="14">
        <f>7633+1058.7</f>
        <v>8691.7</v>
      </c>
      <c r="AD228" s="3">
        <f>946+68</f>
        <v>1014</v>
      </c>
      <c r="AE228" s="3"/>
      <c r="AF228" s="82"/>
      <c r="AG228" s="82"/>
      <c r="AH228" s="26">
        <f>9186+1729.3</f>
        <v>10915.3</v>
      </c>
      <c r="AI228" s="26">
        <f>526.4+80.3+30</f>
        <v>636.6999999999999</v>
      </c>
      <c r="AJ228" s="26"/>
      <c r="AK228" s="26">
        <f>8718.5+719.8</f>
        <v>9438.3</v>
      </c>
      <c r="AL228" s="26">
        <f>1800</f>
        <v>1800</v>
      </c>
      <c r="AM228" s="26"/>
      <c r="AN228" s="14">
        <f>7633+1058.7</f>
        <v>8691.7</v>
      </c>
      <c r="AO228" s="26">
        <f>946+68</f>
        <v>1014</v>
      </c>
      <c r="AP228" s="26"/>
      <c r="AQ228" s="14">
        <f>7633+1058.7</f>
        <v>8691.7</v>
      </c>
      <c r="AR228" s="26">
        <f>946+68</f>
        <v>1014</v>
      </c>
      <c r="AS228" s="26"/>
      <c r="AT228" s="14">
        <f>7633+1058.7</f>
        <v>8691.7</v>
      </c>
      <c r="AU228" s="26">
        <f>946+68</f>
        <v>1014</v>
      </c>
      <c r="AV228" s="26"/>
    </row>
    <row r="229" spans="1:48" ht="16.5" customHeight="1">
      <c r="A229" s="84"/>
      <c r="B229" s="91"/>
      <c r="C229" s="10" t="s">
        <v>35</v>
      </c>
      <c r="D229" s="3">
        <v>851</v>
      </c>
      <c r="E229" s="84"/>
      <c r="F229" s="87"/>
      <c r="G229" s="84"/>
      <c r="H229" s="84"/>
      <c r="I229" s="84"/>
      <c r="J229" s="87"/>
      <c r="K229" s="84"/>
      <c r="L229" s="84"/>
      <c r="M229" s="90"/>
      <c r="N229" s="14">
        <f>10+0.2</f>
        <v>10.2</v>
      </c>
      <c r="O229" s="3"/>
      <c r="P229" s="3"/>
      <c r="Q229" s="14">
        <f>2</f>
        <v>2</v>
      </c>
      <c r="R229" s="3"/>
      <c r="S229" s="3"/>
      <c r="T229" s="14">
        <f>20+0.2</f>
        <v>20.2</v>
      </c>
      <c r="U229" s="3"/>
      <c r="V229" s="3"/>
      <c r="W229" s="14">
        <f>20+0.2</f>
        <v>20.2</v>
      </c>
      <c r="X229" s="3"/>
      <c r="Y229" s="3"/>
      <c r="Z229" s="14">
        <f>20+0.2</f>
        <v>20.2</v>
      </c>
      <c r="AA229" s="3"/>
      <c r="AB229" s="3"/>
      <c r="AC229" s="14">
        <f>20+0.2</f>
        <v>20.2</v>
      </c>
      <c r="AD229" s="3"/>
      <c r="AE229" s="3"/>
      <c r="AF229" s="82"/>
      <c r="AG229" s="82"/>
      <c r="AH229" s="14">
        <f>10+0.2</f>
        <v>10.2</v>
      </c>
      <c r="AI229" s="26"/>
      <c r="AJ229" s="26"/>
      <c r="AK229" s="14">
        <f>20+0.2</f>
        <v>20.2</v>
      </c>
      <c r="AL229" s="26"/>
      <c r="AM229" s="26"/>
      <c r="AN229" s="14">
        <f>20+0.2</f>
        <v>20.2</v>
      </c>
      <c r="AO229" s="26"/>
      <c r="AP229" s="26"/>
      <c r="AQ229" s="14">
        <f>20+0.2</f>
        <v>20.2</v>
      </c>
      <c r="AR229" s="26"/>
      <c r="AS229" s="26"/>
      <c r="AT229" s="14">
        <f>20+0.2</f>
        <v>20.2</v>
      </c>
      <c r="AU229" s="26"/>
      <c r="AV229" s="26"/>
    </row>
    <row r="230" spans="1:48" ht="20.25" customHeight="1">
      <c r="A230" s="84"/>
      <c r="B230" s="91"/>
      <c r="C230" s="10" t="s">
        <v>35</v>
      </c>
      <c r="D230" s="3">
        <v>852</v>
      </c>
      <c r="E230" s="84"/>
      <c r="F230" s="87"/>
      <c r="G230" s="84"/>
      <c r="H230" s="84"/>
      <c r="I230" s="84"/>
      <c r="J230" s="87"/>
      <c r="K230" s="84"/>
      <c r="L230" s="84"/>
      <c r="M230" s="90"/>
      <c r="N230" s="14">
        <v>1</v>
      </c>
      <c r="O230" s="3"/>
      <c r="P230" s="3"/>
      <c r="Q230" s="3">
        <v>0</v>
      </c>
      <c r="R230" s="3"/>
      <c r="S230" s="3"/>
      <c r="T230" s="14">
        <v>1</v>
      </c>
      <c r="U230" s="3"/>
      <c r="V230" s="3"/>
      <c r="W230" s="14">
        <v>1</v>
      </c>
      <c r="X230" s="3"/>
      <c r="Y230" s="3"/>
      <c r="Z230" s="14">
        <v>1</v>
      </c>
      <c r="AA230" s="3"/>
      <c r="AB230" s="3"/>
      <c r="AC230" s="14">
        <v>1</v>
      </c>
      <c r="AD230" s="3"/>
      <c r="AE230" s="3"/>
      <c r="AF230" s="82"/>
      <c r="AG230" s="82"/>
      <c r="AH230" s="14">
        <v>1</v>
      </c>
      <c r="AI230" s="26"/>
      <c r="AJ230" s="26"/>
      <c r="AK230" s="14">
        <v>1</v>
      </c>
      <c r="AL230" s="26"/>
      <c r="AM230" s="26"/>
      <c r="AN230" s="14">
        <v>1</v>
      </c>
      <c r="AO230" s="26"/>
      <c r="AP230" s="26"/>
      <c r="AQ230" s="14">
        <v>1</v>
      </c>
      <c r="AR230" s="26"/>
      <c r="AS230" s="26"/>
      <c r="AT230" s="14">
        <v>1</v>
      </c>
      <c r="AU230" s="26"/>
      <c r="AV230" s="26"/>
    </row>
    <row r="231" spans="1:48" ht="18" customHeight="1">
      <c r="A231" s="84"/>
      <c r="B231" s="91"/>
      <c r="C231" s="10" t="s">
        <v>35</v>
      </c>
      <c r="D231" s="3">
        <v>853</v>
      </c>
      <c r="E231" s="84"/>
      <c r="F231" s="87"/>
      <c r="G231" s="84"/>
      <c r="H231" s="84"/>
      <c r="I231" s="84"/>
      <c r="J231" s="87"/>
      <c r="K231" s="84"/>
      <c r="L231" s="84"/>
      <c r="M231" s="90"/>
      <c r="N231" s="3">
        <f>47.7+0.2</f>
        <v>47.900000000000006</v>
      </c>
      <c r="O231" s="3"/>
      <c r="P231" s="3"/>
      <c r="Q231" s="3">
        <f>47.5</f>
        <v>47.5</v>
      </c>
      <c r="R231" s="3"/>
      <c r="S231" s="3"/>
      <c r="T231" s="3">
        <f>0.2+0.2</f>
        <v>0.4</v>
      </c>
      <c r="U231" s="3"/>
      <c r="V231" s="3"/>
      <c r="W231" s="3">
        <f>0.2+0.2</f>
        <v>0.4</v>
      </c>
      <c r="X231" s="3"/>
      <c r="Y231" s="3"/>
      <c r="Z231" s="3">
        <f>0.2+0.2</f>
        <v>0.4</v>
      </c>
      <c r="AA231" s="3"/>
      <c r="AB231" s="3"/>
      <c r="AC231" s="3">
        <f>0.2+0.2</f>
        <v>0.4</v>
      </c>
      <c r="AD231" s="3"/>
      <c r="AE231" s="3"/>
      <c r="AF231" s="82"/>
      <c r="AG231" s="82"/>
      <c r="AH231" s="26">
        <f>47.7+0.2</f>
        <v>47.900000000000006</v>
      </c>
      <c r="AI231" s="26"/>
      <c r="AJ231" s="26"/>
      <c r="AK231" s="26">
        <f>0.2+0.2</f>
        <v>0.4</v>
      </c>
      <c r="AL231" s="26"/>
      <c r="AM231" s="26"/>
      <c r="AN231" s="26">
        <f>0.2+0.2</f>
        <v>0.4</v>
      </c>
      <c r="AO231" s="26"/>
      <c r="AP231" s="26"/>
      <c r="AQ231" s="26">
        <f>0.2+0.2</f>
        <v>0.4</v>
      </c>
      <c r="AR231" s="26"/>
      <c r="AS231" s="26"/>
      <c r="AT231" s="26">
        <f>0.2+0.2</f>
        <v>0.4</v>
      </c>
      <c r="AU231" s="26"/>
      <c r="AV231" s="26"/>
    </row>
    <row r="232" spans="1:48" ht="16.5" customHeight="1">
      <c r="A232" s="84"/>
      <c r="B232" s="91"/>
      <c r="C232" s="10" t="s">
        <v>65</v>
      </c>
      <c r="D232" s="3">
        <v>111</v>
      </c>
      <c r="E232" s="84"/>
      <c r="F232" s="87"/>
      <c r="G232" s="84"/>
      <c r="H232" s="84"/>
      <c r="I232" s="84"/>
      <c r="J232" s="87"/>
      <c r="K232" s="84"/>
      <c r="L232" s="84"/>
      <c r="M232" s="90"/>
      <c r="N232" s="3">
        <v>9008.3</v>
      </c>
      <c r="O232" s="3"/>
      <c r="P232" s="3">
        <v>9008.3</v>
      </c>
      <c r="Q232" s="3">
        <v>9001.4</v>
      </c>
      <c r="R232" s="3"/>
      <c r="S232" s="3">
        <v>9001.4</v>
      </c>
      <c r="T232" s="3">
        <v>8858.5</v>
      </c>
      <c r="U232" s="3"/>
      <c r="V232" s="3">
        <v>8858.5</v>
      </c>
      <c r="W232" s="3">
        <v>9518.2</v>
      </c>
      <c r="X232" s="3"/>
      <c r="Y232" s="3">
        <v>9518.2</v>
      </c>
      <c r="Z232" s="3">
        <v>9518.2</v>
      </c>
      <c r="AA232" s="3"/>
      <c r="AB232" s="3">
        <v>9518.2</v>
      </c>
      <c r="AC232" s="3">
        <v>9518.2</v>
      </c>
      <c r="AD232" s="3"/>
      <c r="AE232" s="3">
        <v>9518.2</v>
      </c>
      <c r="AF232" s="82"/>
      <c r="AG232" s="82"/>
      <c r="AH232" s="26">
        <v>9008.3</v>
      </c>
      <c r="AI232" s="26"/>
      <c r="AJ232" s="26">
        <v>9008.3</v>
      </c>
      <c r="AK232" s="26">
        <v>8858.5</v>
      </c>
      <c r="AL232" s="26"/>
      <c r="AM232" s="26">
        <v>8858.5</v>
      </c>
      <c r="AN232" s="26">
        <v>9518.2</v>
      </c>
      <c r="AO232" s="26"/>
      <c r="AP232" s="26">
        <v>9518.2</v>
      </c>
      <c r="AQ232" s="26">
        <v>9518.2</v>
      </c>
      <c r="AR232" s="26"/>
      <c r="AS232" s="26">
        <v>9518.2</v>
      </c>
      <c r="AT232" s="26">
        <v>9518.2</v>
      </c>
      <c r="AU232" s="26"/>
      <c r="AV232" s="26">
        <v>9518.2</v>
      </c>
    </row>
    <row r="233" spans="1:48" ht="18" customHeight="1">
      <c r="A233" s="84"/>
      <c r="B233" s="91"/>
      <c r="C233" s="10" t="s">
        <v>65</v>
      </c>
      <c r="D233" s="3">
        <v>112</v>
      </c>
      <c r="E233" s="84"/>
      <c r="F233" s="87"/>
      <c r="G233" s="84"/>
      <c r="H233" s="84"/>
      <c r="I233" s="84"/>
      <c r="J233" s="87"/>
      <c r="K233" s="84"/>
      <c r="L233" s="84"/>
      <c r="M233" s="90"/>
      <c r="N233" s="14">
        <v>55</v>
      </c>
      <c r="O233" s="3"/>
      <c r="P233" s="3"/>
      <c r="Q233" s="3">
        <v>34.5</v>
      </c>
      <c r="R233" s="3"/>
      <c r="S233" s="3"/>
      <c r="T233" s="3"/>
      <c r="U233" s="3"/>
      <c r="V233" s="3"/>
      <c r="W233" s="3">
        <v>55</v>
      </c>
      <c r="X233" s="3"/>
      <c r="Y233" s="3"/>
      <c r="Z233" s="3">
        <v>55</v>
      </c>
      <c r="AA233" s="3"/>
      <c r="AB233" s="3"/>
      <c r="AC233" s="3">
        <v>55</v>
      </c>
      <c r="AD233" s="3"/>
      <c r="AE233" s="3"/>
      <c r="AF233" s="82"/>
      <c r="AG233" s="82"/>
      <c r="AH233" s="14">
        <v>55</v>
      </c>
      <c r="AI233" s="26"/>
      <c r="AJ233" s="26"/>
      <c r="AK233" s="26"/>
      <c r="AL233" s="26"/>
      <c r="AM233" s="26"/>
      <c r="AN233" s="26">
        <v>55</v>
      </c>
      <c r="AO233" s="26"/>
      <c r="AP233" s="26"/>
      <c r="AQ233" s="26">
        <v>55</v>
      </c>
      <c r="AR233" s="26"/>
      <c r="AS233" s="26"/>
      <c r="AT233" s="26">
        <v>55</v>
      </c>
      <c r="AU233" s="26"/>
      <c r="AV233" s="26"/>
    </row>
    <row r="234" spans="1:48" ht="21.75" customHeight="1">
      <c r="A234" s="84"/>
      <c r="B234" s="91"/>
      <c r="C234" s="10" t="s">
        <v>65</v>
      </c>
      <c r="D234" s="3">
        <v>119</v>
      </c>
      <c r="E234" s="84"/>
      <c r="F234" s="87"/>
      <c r="G234" s="84"/>
      <c r="H234" s="84"/>
      <c r="I234" s="84"/>
      <c r="J234" s="87"/>
      <c r="K234" s="84"/>
      <c r="L234" s="84"/>
      <c r="M234" s="90"/>
      <c r="N234" s="3">
        <v>2720.5</v>
      </c>
      <c r="O234" s="3"/>
      <c r="P234" s="3">
        <v>2720.5</v>
      </c>
      <c r="Q234" s="3">
        <v>2653.7</v>
      </c>
      <c r="R234" s="3"/>
      <c r="S234" s="3">
        <v>2653.7</v>
      </c>
      <c r="T234" s="3">
        <v>2559</v>
      </c>
      <c r="U234" s="3"/>
      <c r="V234" s="3">
        <v>2559</v>
      </c>
      <c r="W234" s="3">
        <v>2874.5</v>
      </c>
      <c r="X234" s="3"/>
      <c r="Y234" s="3">
        <v>2874.5</v>
      </c>
      <c r="Z234" s="3">
        <v>2874.5</v>
      </c>
      <c r="AA234" s="3"/>
      <c r="AB234" s="3">
        <v>2874.5</v>
      </c>
      <c r="AC234" s="3">
        <v>2874.5</v>
      </c>
      <c r="AD234" s="3"/>
      <c r="AE234" s="3">
        <v>2874.5</v>
      </c>
      <c r="AF234" s="82"/>
      <c r="AG234" s="82"/>
      <c r="AH234" s="26">
        <v>2720.5</v>
      </c>
      <c r="AI234" s="26"/>
      <c r="AJ234" s="26">
        <v>2720.5</v>
      </c>
      <c r="AK234" s="26">
        <v>2559</v>
      </c>
      <c r="AL234" s="26"/>
      <c r="AM234" s="26">
        <v>2559</v>
      </c>
      <c r="AN234" s="26">
        <v>2874.5</v>
      </c>
      <c r="AO234" s="26"/>
      <c r="AP234" s="26">
        <v>2874.5</v>
      </c>
      <c r="AQ234" s="26">
        <v>2874.5</v>
      </c>
      <c r="AR234" s="26"/>
      <c r="AS234" s="26">
        <v>2874.5</v>
      </c>
      <c r="AT234" s="26">
        <v>2874.5</v>
      </c>
      <c r="AU234" s="26"/>
      <c r="AV234" s="26">
        <v>2874.5</v>
      </c>
    </row>
    <row r="235" spans="1:48" ht="20.25" customHeight="1">
      <c r="A235" s="84"/>
      <c r="B235" s="91"/>
      <c r="C235" s="10" t="s">
        <v>65</v>
      </c>
      <c r="D235" s="3">
        <v>244</v>
      </c>
      <c r="E235" s="84"/>
      <c r="F235" s="87"/>
      <c r="G235" s="84"/>
      <c r="H235" s="84"/>
      <c r="I235" s="84"/>
      <c r="J235" s="87"/>
      <c r="K235" s="84"/>
      <c r="L235" s="84"/>
      <c r="M235" s="90"/>
      <c r="N235" s="3">
        <v>1404.2</v>
      </c>
      <c r="O235" s="3"/>
      <c r="P235" s="3"/>
      <c r="Q235" s="3">
        <v>1257.1</v>
      </c>
      <c r="R235" s="3"/>
      <c r="S235" s="3"/>
      <c r="T235" s="3">
        <v>875.6</v>
      </c>
      <c r="U235" s="3">
        <f>92.2</f>
        <v>92.2</v>
      </c>
      <c r="V235" s="3"/>
      <c r="W235" s="3">
        <v>1420.5</v>
      </c>
      <c r="X235" s="3">
        <f>155.4</f>
        <v>155.4</v>
      </c>
      <c r="Y235" s="3"/>
      <c r="Z235" s="3">
        <v>1420.5</v>
      </c>
      <c r="AA235" s="3">
        <f>155.4</f>
        <v>155.4</v>
      </c>
      <c r="AB235" s="3"/>
      <c r="AC235" s="3">
        <v>1420.5</v>
      </c>
      <c r="AD235" s="3">
        <f>155.4</f>
        <v>155.4</v>
      </c>
      <c r="AE235" s="3"/>
      <c r="AF235" s="82"/>
      <c r="AG235" s="82"/>
      <c r="AH235" s="26">
        <v>1404.2</v>
      </c>
      <c r="AI235" s="26"/>
      <c r="AJ235" s="26"/>
      <c r="AK235" s="26">
        <v>875.6</v>
      </c>
      <c r="AL235" s="26">
        <f>92.2</f>
        <v>92.2</v>
      </c>
      <c r="AM235" s="26"/>
      <c r="AN235" s="26">
        <v>1420.5</v>
      </c>
      <c r="AO235" s="26">
        <f>155.4</f>
        <v>155.4</v>
      </c>
      <c r="AP235" s="26"/>
      <c r="AQ235" s="26">
        <v>1420.5</v>
      </c>
      <c r="AR235" s="26">
        <f>155.4</f>
        <v>155.4</v>
      </c>
      <c r="AS235" s="26"/>
      <c r="AT235" s="26">
        <v>1420.5</v>
      </c>
      <c r="AU235" s="26">
        <f>155.4</f>
        <v>155.4</v>
      </c>
      <c r="AV235" s="26"/>
    </row>
    <row r="236" spans="1:48" ht="18.75" customHeight="1">
      <c r="A236" s="84"/>
      <c r="B236" s="91"/>
      <c r="C236" s="10" t="s">
        <v>65</v>
      </c>
      <c r="D236" s="3">
        <v>851</v>
      </c>
      <c r="E236" s="84"/>
      <c r="F236" s="87"/>
      <c r="G236" s="84"/>
      <c r="H236" s="84"/>
      <c r="I236" s="84"/>
      <c r="J236" s="87"/>
      <c r="K236" s="84"/>
      <c r="L236" s="84"/>
      <c r="M236" s="90"/>
      <c r="N236" s="3">
        <v>185.6</v>
      </c>
      <c r="O236" s="3"/>
      <c r="P236" s="3"/>
      <c r="Q236" s="14">
        <v>159</v>
      </c>
      <c r="R236" s="3"/>
      <c r="S236" s="3"/>
      <c r="T236" s="3">
        <v>185.6</v>
      </c>
      <c r="U236" s="3"/>
      <c r="V236" s="3"/>
      <c r="W236" s="3">
        <v>185.6</v>
      </c>
      <c r="X236" s="3"/>
      <c r="Y236" s="3"/>
      <c r="Z236" s="3">
        <v>185.6</v>
      </c>
      <c r="AA236" s="3"/>
      <c r="AB236" s="3"/>
      <c r="AC236" s="3">
        <v>185.6</v>
      </c>
      <c r="AD236" s="3"/>
      <c r="AE236" s="3"/>
      <c r="AF236" s="82"/>
      <c r="AG236" s="82"/>
      <c r="AH236" s="26">
        <v>185.6</v>
      </c>
      <c r="AI236" s="26"/>
      <c r="AJ236" s="26"/>
      <c r="AK236" s="26">
        <v>185.6</v>
      </c>
      <c r="AL236" s="26"/>
      <c r="AM236" s="26"/>
      <c r="AN236" s="26">
        <v>185.6</v>
      </c>
      <c r="AO236" s="26"/>
      <c r="AP236" s="26"/>
      <c r="AQ236" s="26">
        <v>185.6</v>
      </c>
      <c r="AR236" s="26"/>
      <c r="AS236" s="26"/>
      <c r="AT236" s="26">
        <v>185.6</v>
      </c>
      <c r="AU236" s="26"/>
      <c r="AV236" s="26"/>
    </row>
    <row r="237" spans="1:48" ht="21.75" customHeight="1">
      <c r="A237" s="84"/>
      <c r="B237" s="91"/>
      <c r="C237" s="10" t="s">
        <v>65</v>
      </c>
      <c r="D237" s="3">
        <v>852</v>
      </c>
      <c r="E237" s="84"/>
      <c r="F237" s="87"/>
      <c r="G237" s="84"/>
      <c r="H237" s="84"/>
      <c r="I237" s="84"/>
      <c r="J237" s="87"/>
      <c r="K237" s="84"/>
      <c r="L237" s="84"/>
      <c r="M237" s="90"/>
      <c r="N237" s="3">
        <v>5.7</v>
      </c>
      <c r="O237" s="3"/>
      <c r="P237" s="3"/>
      <c r="Q237" s="3">
        <v>5.7</v>
      </c>
      <c r="R237" s="3"/>
      <c r="S237" s="3"/>
      <c r="T237" s="3">
        <v>50</v>
      </c>
      <c r="U237" s="3"/>
      <c r="V237" s="3"/>
      <c r="W237" s="3">
        <v>0.1</v>
      </c>
      <c r="X237" s="3"/>
      <c r="Y237" s="3"/>
      <c r="Z237" s="3">
        <v>0.1</v>
      </c>
      <c r="AA237" s="3"/>
      <c r="AB237" s="3"/>
      <c r="AC237" s="3">
        <v>0.1</v>
      </c>
      <c r="AD237" s="3"/>
      <c r="AE237" s="3"/>
      <c r="AF237" s="82"/>
      <c r="AG237" s="82"/>
      <c r="AH237" s="26">
        <v>5.7</v>
      </c>
      <c r="AI237" s="26"/>
      <c r="AJ237" s="26"/>
      <c r="AK237" s="26">
        <v>50</v>
      </c>
      <c r="AL237" s="26"/>
      <c r="AM237" s="26"/>
      <c r="AN237" s="26">
        <v>0.1</v>
      </c>
      <c r="AO237" s="26"/>
      <c r="AP237" s="26"/>
      <c r="AQ237" s="26">
        <v>0.1</v>
      </c>
      <c r="AR237" s="26"/>
      <c r="AS237" s="26"/>
      <c r="AT237" s="26">
        <v>0.1</v>
      </c>
      <c r="AU237" s="26"/>
      <c r="AV237" s="26"/>
    </row>
    <row r="238" spans="1:48" s="2" customFormat="1" ht="21.75" customHeight="1">
      <c r="A238" s="84"/>
      <c r="B238" s="91"/>
      <c r="C238" s="10" t="s">
        <v>77</v>
      </c>
      <c r="D238" s="3">
        <v>621</v>
      </c>
      <c r="E238" s="84"/>
      <c r="F238" s="87"/>
      <c r="G238" s="84"/>
      <c r="H238" s="84"/>
      <c r="I238" s="84"/>
      <c r="J238" s="87"/>
      <c r="K238" s="84"/>
      <c r="L238" s="84"/>
      <c r="M238" s="90"/>
      <c r="N238" s="3">
        <v>421.1</v>
      </c>
      <c r="O238" s="3">
        <v>11.7</v>
      </c>
      <c r="P238" s="3">
        <v>317.1</v>
      </c>
      <c r="Q238" s="3">
        <v>419.8</v>
      </c>
      <c r="R238" s="3">
        <v>11.7</v>
      </c>
      <c r="S238" s="3">
        <v>315.8</v>
      </c>
      <c r="T238" s="3">
        <v>410</v>
      </c>
      <c r="U238" s="3"/>
      <c r="V238" s="3">
        <v>332.1</v>
      </c>
      <c r="W238" s="3">
        <v>460.2</v>
      </c>
      <c r="X238" s="3"/>
      <c r="Y238" s="3">
        <f>342</f>
        <v>342</v>
      </c>
      <c r="Z238" s="3">
        <v>460.2</v>
      </c>
      <c r="AA238" s="3"/>
      <c r="AB238" s="3">
        <f>342</f>
        <v>342</v>
      </c>
      <c r="AC238" s="3">
        <v>460.2</v>
      </c>
      <c r="AD238" s="3"/>
      <c r="AE238" s="3">
        <f>342</f>
        <v>342</v>
      </c>
      <c r="AF238" s="82"/>
      <c r="AG238" s="82"/>
      <c r="AH238" s="26">
        <v>421.1</v>
      </c>
      <c r="AI238" s="26">
        <v>11.7</v>
      </c>
      <c r="AJ238" s="26">
        <v>317.1</v>
      </c>
      <c r="AK238" s="26">
        <v>410</v>
      </c>
      <c r="AL238" s="26"/>
      <c r="AM238" s="26">
        <v>332.1</v>
      </c>
      <c r="AN238" s="26">
        <v>460.2</v>
      </c>
      <c r="AO238" s="26"/>
      <c r="AP238" s="26">
        <f>342</f>
        <v>342</v>
      </c>
      <c r="AQ238" s="26">
        <v>460.2</v>
      </c>
      <c r="AR238" s="26"/>
      <c r="AS238" s="26">
        <f>342</f>
        <v>342</v>
      </c>
      <c r="AT238" s="26">
        <v>460.2</v>
      </c>
      <c r="AU238" s="26"/>
      <c r="AV238" s="26">
        <f>342</f>
        <v>342</v>
      </c>
    </row>
    <row r="239" spans="1:48" ht="18.75" customHeight="1">
      <c r="A239" s="84"/>
      <c r="B239" s="91"/>
      <c r="C239" s="10" t="s">
        <v>65</v>
      </c>
      <c r="D239" s="3">
        <v>853</v>
      </c>
      <c r="E239" s="84"/>
      <c r="F239" s="87"/>
      <c r="G239" s="84"/>
      <c r="H239" s="84"/>
      <c r="I239" s="84"/>
      <c r="J239" s="87"/>
      <c r="K239" s="84"/>
      <c r="L239" s="84"/>
      <c r="M239" s="90"/>
      <c r="N239" s="3">
        <v>251.1</v>
      </c>
      <c r="O239" s="3"/>
      <c r="P239" s="3"/>
      <c r="Q239" s="14">
        <v>251</v>
      </c>
      <c r="R239" s="3"/>
      <c r="S239" s="3"/>
      <c r="T239" s="3">
        <v>471.4</v>
      </c>
      <c r="U239" s="3"/>
      <c r="V239" s="3"/>
      <c r="W239" s="3">
        <v>91.1</v>
      </c>
      <c r="X239" s="3"/>
      <c r="Y239" s="3"/>
      <c r="Z239" s="3">
        <v>91.1</v>
      </c>
      <c r="AA239" s="3"/>
      <c r="AB239" s="3"/>
      <c r="AC239" s="3">
        <v>91.1</v>
      </c>
      <c r="AD239" s="3"/>
      <c r="AE239" s="3"/>
      <c r="AF239" s="83"/>
      <c r="AG239" s="83"/>
      <c r="AH239" s="26">
        <v>251.1</v>
      </c>
      <c r="AI239" s="26"/>
      <c r="AJ239" s="26"/>
      <c r="AK239" s="26">
        <v>471.4</v>
      </c>
      <c r="AL239" s="26"/>
      <c r="AM239" s="26"/>
      <c r="AN239" s="26">
        <v>91.1</v>
      </c>
      <c r="AO239" s="26"/>
      <c r="AP239" s="26"/>
      <c r="AQ239" s="26">
        <v>91.1</v>
      </c>
      <c r="AR239" s="26"/>
      <c r="AS239" s="26"/>
      <c r="AT239" s="26">
        <v>91.1</v>
      </c>
      <c r="AU239" s="26"/>
      <c r="AV239" s="26"/>
    </row>
    <row r="240" spans="1:48" s="2" customFormat="1" ht="21" customHeight="1">
      <c r="A240" s="18"/>
      <c r="B240" s="4"/>
      <c r="C240" s="10"/>
      <c r="D240" s="3"/>
      <c r="E240" s="54"/>
      <c r="F240" s="53"/>
      <c r="G240" s="54"/>
      <c r="H240" s="54"/>
      <c r="I240" s="54"/>
      <c r="J240" s="53"/>
      <c r="K240" s="54"/>
      <c r="L240" s="54"/>
      <c r="M240" s="53"/>
      <c r="N240" s="3">
        <f>SUM(N241)</f>
        <v>4981.8</v>
      </c>
      <c r="O240" s="3">
        <f aca="true" t="shared" si="62" ref="O240:AE240">SUM(O241)</f>
        <v>0</v>
      </c>
      <c r="P240" s="3">
        <f t="shared" si="62"/>
        <v>0</v>
      </c>
      <c r="Q240" s="3">
        <f t="shared" si="62"/>
        <v>4980.2</v>
      </c>
      <c r="R240" s="3">
        <f t="shared" si="62"/>
        <v>0</v>
      </c>
      <c r="S240" s="3">
        <f t="shared" si="62"/>
        <v>0</v>
      </c>
      <c r="T240" s="3">
        <f t="shared" si="62"/>
        <v>0</v>
      </c>
      <c r="U240" s="3">
        <f t="shared" si="62"/>
        <v>0</v>
      </c>
      <c r="V240" s="3">
        <f t="shared" si="62"/>
        <v>0</v>
      </c>
      <c r="W240" s="3">
        <f t="shared" si="62"/>
        <v>0</v>
      </c>
      <c r="X240" s="3">
        <f t="shared" si="62"/>
        <v>0</v>
      </c>
      <c r="Y240" s="3">
        <f t="shared" si="62"/>
        <v>0</v>
      </c>
      <c r="Z240" s="3">
        <f t="shared" si="62"/>
        <v>0</v>
      </c>
      <c r="AA240" s="3">
        <f t="shared" si="62"/>
        <v>0</v>
      </c>
      <c r="AB240" s="3">
        <f t="shared" si="62"/>
        <v>0</v>
      </c>
      <c r="AC240" s="3">
        <f t="shared" si="62"/>
        <v>0</v>
      </c>
      <c r="AD240" s="3">
        <f t="shared" si="62"/>
        <v>0</v>
      </c>
      <c r="AE240" s="3">
        <f t="shared" si="62"/>
        <v>0</v>
      </c>
      <c r="AF240" s="12"/>
      <c r="AG240" s="58"/>
      <c r="AH240" s="26">
        <f>SUM(AH241)</f>
        <v>4981.8</v>
      </c>
      <c r="AI240" s="26">
        <f aca="true" t="shared" si="63" ref="AI240:AV240">SUM(AI241)</f>
        <v>0</v>
      </c>
      <c r="AJ240" s="26">
        <f t="shared" si="63"/>
        <v>0</v>
      </c>
      <c r="AK240" s="26">
        <f t="shared" si="63"/>
        <v>0</v>
      </c>
      <c r="AL240" s="26">
        <f t="shared" si="63"/>
        <v>0</v>
      </c>
      <c r="AM240" s="26">
        <f t="shared" si="63"/>
        <v>0</v>
      </c>
      <c r="AN240" s="26">
        <f t="shared" si="63"/>
        <v>0</v>
      </c>
      <c r="AO240" s="26">
        <f t="shared" si="63"/>
        <v>0</v>
      </c>
      <c r="AP240" s="26">
        <f t="shared" si="63"/>
        <v>0</v>
      </c>
      <c r="AQ240" s="26">
        <f t="shared" si="63"/>
        <v>0</v>
      </c>
      <c r="AR240" s="26">
        <f t="shared" si="63"/>
        <v>0</v>
      </c>
      <c r="AS240" s="26">
        <f t="shared" si="63"/>
        <v>0</v>
      </c>
      <c r="AT240" s="26">
        <f t="shared" si="63"/>
        <v>0</v>
      </c>
      <c r="AU240" s="26">
        <f t="shared" si="63"/>
        <v>0</v>
      </c>
      <c r="AV240" s="26">
        <f t="shared" si="63"/>
        <v>0</v>
      </c>
    </row>
    <row r="241" spans="1:48" ht="48" customHeight="1">
      <c r="A241" s="84" t="s">
        <v>30</v>
      </c>
      <c r="B241" s="91">
        <v>2211</v>
      </c>
      <c r="C241" s="98" t="s">
        <v>31</v>
      </c>
      <c r="D241" s="84">
        <v>244</v>
      </c>
      <c r="E241" s="84" t="s">
        <v>165</v>
      </c>
      <c r="F241" s="87" t="s">
        <v>229</v>
      </c>
      <c r="G241" s="84" t="s">
        <v>159</v>
      </c>
      <c r="H241" s="107" t="s">
        <v>230</v>
      </c>
      <c r="I241" s="107" t="s">
        <v>231</v>
      </c>
      <c r="J241" s="87" t="s">
        <v>232</v>
      </c>
      <c r="K241" s="84" t="s">
        <v>149</v>
      </c>
      <c r="L241" s="91" t="s">
        <v>120</v>
      </c>
      <c r="M241" s="90"/>
      <c r="N241" s="84">
        <v>4981.8</v>
      </c>
      <c r="O241" s="84"/>
      <c r="P241" s="81"/>
      <c r="Q241" s="85">
        <v>4980.2</v>
      </c>
      <c r="R241" s="81"/>
      <c r="S241" s="81"/>
      <c r="T241" s="84"/>
      <c r="U241" s="81"/>
      <c r="V241" s="84"/>
      <c r="W241" s="84"/>
      <c r="X241" s="81"/>
      <c r="Y241" s="84"/>
      <c r="Z241" s="84"/>
      <c r="AA241" s="81"/>
      <c r="AB241" s="81"/>
      <c r="AC241" s="84"/>
      <c r="AD241" s="81"/>
      <c r="AE241" s="81"/>
      <c r="AF241" s="81"/>
      <c r="AG241" s="81" t="s">
        <v>287</v>
      </c>
      <c r="AH241" s="84">
        <v>4981.8</v>
      </c>
      <c r="AI241" s="84"/>
      <c r="AJ241" s="81"/>
      <c r="AK241" s="84"/>
      <c r="AL241" s="81"/>
      <c r="AM241" s="84"/>
      <c r="AN241" s="84"/>
      <c r="AO241" s="81"/>
      <c r="AP241" s="84"/>
      <c r="AQ241" s="84"/>
      <c r="AR241" s="81"/>
      <c r="AS241" s="81"/>
      <c r="AT241" s="84"/>
      <c r="AU241" s="81"/>
      <c r="AV241" s="81"/>
    </row>
    <row r="242" spans="1:48" ht="75.75" customHeight="1">
      <c r="A242" s="84"/>
      <c r="B242" s="91"/>
      <c r="C242" s="98"/>
      <c r="D242" s="84"/>
      <c r="E242" s="84"/>
      <c r="F242" s="87"/>
      <c r="G242" s="84"/>
      <c r="H242" s="107"/>
      <c r="I242" s="107"/>
      <c r="J242" s="87"/>
      <c r="K242" s="84"/>
      <c r="L242" s="91"/>
      <c r="M242" s="90"/>
      <c r="N242" s="84"/>
      <c r="O242" s="84"/>
      <c r="P242" s="83"/>
      <c r="Q242" s="86"/>
      <c r="R242" s="83"/>
      <c r="S242" s="83"/>
      <c r="T242" s="84"/>
      <c r="U242" s="83"/>
      <c r="V242" s="84"/>
      <c r="W242" s="84"/>
      <c r="X242" s="83"/>
      <c r="Y242" s="84"/>
      <c r="Z242" s="84"/>
      <c r="AA242" s="83"/>
      <c r="AB242" s="83"/>
      <c r="AC242" s="84"/>
      <c r="AD242" s="83"/>
      <c r="AE242" s="83"/>
      <c r="AF242" s="83"/>
      <c r="AG242" s="83"/>
      <c r="AH242" s="84"/>
      <c r="AI242" s="84"/>
      <c r="AJ242" s="83"/>
      <c r="AK242" s="84"/>
      <c r="AL242" s="83"/>
      <c r="AM242" s="84"/>
      <c r="AN242" s="84"/>
      <c r="AO242" s="83"/>
      <c r="AP242" s="84"/>
      <c r="AQ242" s="84"/>
      <c r="AR242" s="83"/>
      <c r="AS242" s="83"/>
      <c r="AT242" s="84"/>
      <c r="AU242" s="83"/>
      <c r="AV242" s="83"/>
    </row>
    <row r="243" spans="1:48" s="2" customFormat="1" ht="19.5" customHeight="1">
      <c r="A243" s="18"/>
      <c r="B243" s="4"/>
      <c r="C243" s="19"/>
      <c r="D243" s="18"/>
      <c r="E243" s="54"/>
      <c r="F243" s="53"/>
      <c r="G243" s="54"/>
      <c r="H243" s="40"/>
      <c r="I243" s="40"/>
      <c r="J243" s="53"/>
      <c r="K243" s="54"/>
      <c r="L243" s="52"/>
      <c r="M243" s="7"/>
      <c r="N243" s="18">
        <f>SUM(N244)</f>
        <v>0</v>
      </c>
      <c r="O243" s="18">
        <f aca="true" t="shared" si="64" ref="O243:AE243">SUM(O244)</f>
        <v>0</v>
      </c>
      <c r="P243" s="18">
        <f t="shared" si="64"/>
        <v>0</v>
      </c>
      <c r="Q243" s="18">
        <f t="shared" si="64"/>
        <v>0</v>
      </c>
      <c r="R243" s="18">
        <f t="shared" si="64"/>
        <v>0</v>
      </c>
      <c r="S243" s="18">
        <f t="shared" si="64"/>
        <v>0</v>
      </c>
      <c r="T243" s="18">
        <f t="shared" si="64"/>
        <v>0</v>
      </c>
      <c r="U243" s="18">
        <f t="shared" si="64"/>
        <v>0</v>
      </c>
      <c r="V243" s="18">
        <f t="shared" si="64"/>
        <v>0</v>
      </c>
      <c r="W243" s="18">
        <f t="shared" si="64"/>
        <v>0</v>
      </c>
      <c r="X243" s="18">
        <f t="shared" si="64"/>
        <v>0</v>
      </c>
      <c r="Y243" s="18">
        <f t="shared" si="64"/>
        <v>0</v>
      </c>
      <c r="Z243" s="18">
        <f t="shared" si="64"/>
        <v>0</v>
      </c>
      <c r="AA243" s="18">
        <f t="shared" si="64"/>
        <v>0</v>
      </c>
      <c r="AB243" s="18">
        <f t="shared" si="64"/>
        <v>0</v>
      </c>
      <c r="AC243" s="18">
        <f t="shared" si="64"/>
        <v>0</v>
      </c>
      <c r="AD243" s="18">
        <f t="shared" si="64"/>
        <v>0</v>
      </c>
      <c r="AE243" s="18">
        <f t="shared" si="64"/>
        <v>0</v>
      </c>
      <c r="AF243" s="12"/>
      <c r="AG243" s="58"/>
      <c r="AH243" s="24">
        <f>SUM(AH244)</f>
        <v>0</v>
      </c>
      <c r="AI243" s="24">
        <f aca="true" t="shared" si="65" ref="AI243:AV243">SUM(AI244)</f>
        <v>0</v>
      </c>
      <c r="AJ243" s="24">
        <f t="shared" si="65"/>
        <v>0</v>
      </c>
      <c r="AK243" s="24">
        <f t="shared" si="65"/>
        <v>0</v>
      </c>
      <c r="AL243" s="24">
        <f t="shared" si="65"/>
        <v>0</v>
      </c>
      <c r="AM243" s="24">
        <f t="shared" si="65"/>
        <v>0</v>
      </c>
      <c r="AN243" s="24">
        <f t="shared" si="65"/>
        <v>0</v>
      </c>
      <c r="AO243" s="24">
        <f t="shared" si="65"/>
        <v>0</v>
      </c>
      <c r="AP243" s="24">
        <f t="shared" si="65"/>
        <v>0</v>
      </c>
      <c r="AQ243" s="24">
        <f t="shared" si="65"/>
        <v>0</v>
      </c>
      <c r="AR243" s="24">
        <f t="shared" si="65"/>
        <v>0</v>
      </c>
      <c r="AS243" s="24">
        <f t="shared" si="65"/>
        <v>0</v>
      </c>
      <c r="AT243" s="24">
        <f t="shared" si="65"/>
        <v>0</v>
      </c>
      <c r="AU243" s="24">
        <f t="shared" si="65"/>
        <v>0</v>
      </c>
      <c r="AV243" s="24">
        <f t="shared" si="65"/>
        <v>0</v>
      </c>
    </row>
    <row r="244" spans="1:48" ht="154.5" customHeight="1">
      <c r="A244" s="41" t="s">
        <v>99</v>
      </c>
      <c r="B244" s="4">
        <v>2212</v>
      </c>
      <c r="C244" s="10" t="s">
        <v>54</v>
      </c>
      <c r="D244" s="3">
        <v>244</v>
      </c>
      <c r="E244" s="54"/>
      <c r="F244" s="33"/>
      <c r="G244" s="54"/>
      <c r="H244" s="40"/>
      <c r="I244" s="40"/>
      <c r="J244" s="53"/>
      <c r="K244" s="54"/>
      <c r="L244" s="52"/>
      <c r="M244" s="52"/>
      <c r="N244" s="3"/>
      <c r="O244" s="3"/>
      <c r="P244" s="3"/>
      <c r="Q244" s="3"/>
      <c r="R244" s="3"/>
      <c r="S244" s="3"/>
      <c r="T244" s="3"/>
      <c r="U244" s="3"/>
      <c r="V244" s="3"/>
      <c r="W244" s="3"/>
      <c r="X244" s="3"/>
      <c r="Y244" s="3"/>
      <c r="Z244" s="3"/>
      <c r="AA244" s="3"/>
      <c r="AB244" s="3"/>
      <c r="AC244" s="3"/>
      <c r="AD244" s="3"/>
      <c r="AE244" s="3"/>
      <c r="AF244" s="12"/>
      <c r="AG244" s="58" t="s">
        <v>287</v>
      </c>
      <c r="AH244" s="26"/>
      <c r="AI244" s="26"/>
      <c r="AJ244" s="26"/>
      <c r="AK244" s="26"/>
      <c r="AL244" s="26"/>
      <c r="AM244" s="26"/>
      <c r="AN244" s="26"/>
      <c r="AO244" s="26"/>
      <c r="AP244" s="26"/>
      <c r="AQ244" s="26"/>
      <c r="AR244" s="26"/>
      <c r="AS244" s="26"/>
      <c r="AT244" s="26"/>
      <c r="AU244" s="26"/>
      <c r="AV244" s="26"/>
    </row>
    <row r="245" spans="1:48" s="2" customFormat="1" ht="15.75" customHeight="1">
      <c r="A245" s="41"/>
      <c r="B245" s="4"/>
      <c r="C245" s="10"/>
      <c r="D245" s="3"/>
      <c r="E245" s="54"/>
      <c r="F245" s="33"/>
      <c r="G245" s="54"/>
      <c r="H245" s="40"/>
      <c r="I245" s="40"/>
      <c r="J245" s="53"/>
      <c r="K245" s="54"/>
      <c r="L245" s="52"/>
      <c r="M245" s="52"/>
      <c r="N245" s="14">
        <f>SUM(N246+N247+N248)</f>
        <v>2175.9</v>
      </c>
      <c r="O245" s="3">
        <f aca="true" t="shared" si="66" ref="O245:AB245">SUM(O246+O247+O248)</f>
        <v>158</v>
      </c>
      <c r="P245" s="3">
        <f t="shared" si="66"/>
        <v>0</v>
      </c>
      <c r="Q245" s="3">
        <f t="shared" si="66"/>
        <v>2008.3</v>
      </c>
      <c r="R245" s="3">
        <f t="shared" si="66"/>
        <v>134.3</v>
      </c>
      <c r="S245" s="3">
        <f t="shared" si="66"/>
        <v>0</v>
      </c>
      <c r="T245" s="3">
        <f t="shared" si="66"/>
        <v>1906</v>
      </c>
      <c r="U245" s="3">
        <f t="shared" si="66"/>
        <v>650</v>
      </c>
      <c r="V245" s="3">
        <f t="shared" si="66"/>
        <v>0</v>
      </c>
      <c r="W245" s="3">
        <f t="shared" si="66"/>
        <v>2306</v>
      </c>
      <c r="X245" s="3">
        <f t="shared" si="66"/>
        <v>850</v>
      </c>
      <c r="Y245" s="3">
        <f t="shared" si="66"/>
        <v>0</v>
      </c>
      <c r="Z245" s="3">
        <f t="shared" si="66"/>
        <v>2306</v>
      </c>
      <c r="AA245" s="3">
        <f t="shared" si="66"/>
        <v>850</v>
      </c>
      <c r="AB245" s="3">
        <f t="shared" si="66"/>
        <v>0</v>
      </c>
      <c r="AC245" s="3">
        <f>SUM(AC246+AC247+AC248)</f>
        <v>2306</v>
      </c>
      <c r="AD245" s="3">
        <f>SUM(AD246+AD247+AD248)</f>
        <v>850</v>
      </c>
      <c r="AE245" s="3">
        <f>SUM(AE246+AE247+AE248)</f>
        <v>0</v>
      </c>
      <c r="AF245" s="12"/>
      <c r="AG245" s="58"/>
      <c r="AH245" s="14">
        <f>SUM(AH246+AH247+AH248)</f>
        <v>2175.9</v>
      </c>
      <c r="AI245" s="26">
        <f aca="true" t="shared" si="67" ref="AI245:AS245">SUM(AI246+AI247+AI248)</f>
        <v>158</v>
      </c>
      <c r="AJ245" s="26">
        <f t="shared" si="67"/>
        <v>0</v>
      </c>
      <c r="AK245" s="26">
        <f t="shared" si="67"/>
        <v>1906</v>
      </c>
      <c r="AL245" s="26">
        <f t="shared" si="67"/>
        <v>650</v>
      </c>
      <c r="AM245" s="26">
        <f t="shared" si="67"/>
        <v>0</v>
      </c>
      <c r="AN245" s="26">
        <f t="shared" si="67"/>
        <v>2306</v>
      </c>
      <c r="AO245" s="26">
        <f t="shared" si="67"/>
        <v>850</v>
      </c>
      <c r="AP245" s="26">
        <f t="shared" si="67"/>
        <v>0</v>
      </c>
      <c r="AQ245" s="26">
        <f t="shared" si="67"/>
        <v>2306</v>
      </c>
      <c r="AR245" s="26">
        <f t="shared" si="67"/>
        <v>850</v>
      </c>
      <c r="AS245" s="26">
        <f t="shared" si="67"/>
        <v>0</v>
      </c>
      <c r="AT245" s="26">
        <f>SUM(AT246+AT247+AT248)</f>
        <v>2306</v>
      </c>
      <c r="AU245" s="26">
        <f>SUM(AU246+AU247+AU248)</f>
        <v>850</v>
      </c>
      <c r="AV245" s="26">
        <f>SUM(AV246+AV247+AV248)</f>
        <v>0</v>
      </c>
    </row>
    <row r="246" spans="1:48" ht="30.75" customHeight="1">
      <c r="A246" s="84" t="s">
        <v>34</v>
      </c>
      <c r="B246" s="91">
        <v>2214</v>
      </c>
      <c r="C246" s="10" t="s">
        <v>35</v>
      </c>
      <c r="D246" s="3">
        <v>244</v>
      </c>
      <c r="E246" s="84" t="s">
        <v>165</v>
      </c>
      <c r="F246" s="87" t="s">
        <v>233</v>
      </c>
      <c r="G246" s="84" t="s">
        <v>159</v>
      </c>
      <c r="H246" s="107"/>
      <c r="I246" s="107"/>
      <c r="J246" s="87"/>
      <c r="K246" s="84" t="s">
        <v>137</v>
      </c>
      <c r="L246" s="84" t="s">
        <v>120</v>
      </c>
      <c r="M246" s="87" t="s">
        <v>126</v>
      </c>
      <c r="N246" s="3"/>
      <c r="O246" s="3"/>
      <c r="P246" s="3"/>
      <c r="Q246" s="3"/>
      <c r="R246" s="3"/>
      <c r="S246" s="3"/>
      <c r="T246" s="3"/>
      <c r="U246" s="3"/>
      <c r="V246" s="3"/>
      <c r="W246" s="3"/>
      <c r="X246" s="3"/>
      <c r="Y246" s="3"/>
      <c r="Z246" s="3"/>
      <c r="AA246" s="3"/>
      <c r="AB246" s="3"/>
      <c r="AC246" s="3"/>
      <c r="AD246" s="3"/>
      <c r="AE246" s="3"/>
      <c r="AF246" s="81" t="s">
        <v>284</v>
      </c>
      <c r="AG246" s="81" t="s">
        <v>287</v>
      </c>
      <c r="AH246" s="26"/>
      <c r="AI246" s="26"/>
      <c r="AJ246" s="26"/>
      <c r="AK246" s="26"/>
      <c r="AL246" s="26"/>
      <c r="AM246" s="26"/>
      <c r="AN246" s="26"/>
      <c r="AO246" s="26"/>
      <c r="AP246" s="26"/>
      <c r="AQ246" s="26"/>
      <c r="AR246" s="26"/>
      <c r="AS246" s="26"/>
      <c r="AT246" s="26"/>
      <c r="AU246" s="26"/>
      <c r="AV246" s="26"/>
    </row>
    <row r="247" spans="1:48" ht="17.25" customHeight="1">
      <c r="A247" s="84"/>
      <c r="B247" s="91"/>
      <c r="C247" s="10" t="s">
        <v>84</v>
      </c>
      <c r="D247" s="3">
        <v>244</v>
      </c>
      <c r="E247" s="84"/>
      <c r="F247" s="87"/>
      <c r="G247" s="84"/>
      <c r="H247" s="107"/>
      <c r="I247" s="107"/>
      <c r="J247" s="87"/>
      <c r="K247" s="84"/>
      <c r="L247" s="84"/>
      <c r="M247" s="87"/>
      <c r="N247" s="14">
        <v>1200</v>
      </c>
      <c r="O247" s="3"/>
      <c r="P247" s="3"/>
      <c r="Q247" s="3">
        <v>1069.5</v>
      </c>
      <c r="R247" s="3"/>
      <c r="S247" s="3"/>
      <c r="T247" s="3">
        <v>1000</v>
      </c>
      <c r="U247" s="3"/>
      <c r="V247" s="3"/>
      <c r="W247" s="3">
        <v>1100</v>
      </c>
      <c r="X247" s="3"/>
      <c r="Y247" s="3"/>
      <c r="Z247" s="3">
        <v>1100</v>
      </c>
      <c r="AA247" s="3"/>
      <c r="AB247" s="3"/>
      <c r="AC247" s="3">
        <v>1100</v>
      </c>
      <c r="AD247" s="3"/>
      <c r="AE247" s="3"/>
      <c r="AF247" s="82"/>
      <c r="AG247" s="82"/>
      <c r="AH247" s="14">
        <v>1200</v>
      </c>
      <c r="AI247" s="26"/>
      <c r="AJ247" s="26"/>
      <c r="AK247" s="26">
        <v>1000</v>
      </c>
      <c r="AL247" s="26"/>
      <c r="AM247" s="26"/>
      <c r="AN247" s="26">
        <v>1100</v>
      </c>
      <c r="AO247" s="26"/>
      <c r="AP247" s="26"/>
      <c r="AQ247" s="26">
        <v>1100</v>
      </c>
      <c r="AR247" s="26"/>
      <c r="AS247" s="26"/>
      <c r="AT247" s="26">
        <v>1100</v>
      </c>
      <c r="AU247" s="26"/>
      <c r="AV247" s="26"/>
    </row>
    <row r="248" spans="1:48" ht="15.75" customHeight="1">
      <c r="A248" s="84"/>
      <c r="B248" s="91"/>
      <c r="C248" s="10" t="s">
        <v>55</v>
      </c>
      <c r="D248" s="3">
        <v>244</v>
      </c>
      <c r="E248" s="84"/>
      <c r="F248" s="87"/>
      <c r="G248" s="84"/>
      <c r="H248" s="107"/>
      <c r="I248" s="107"/>
      <c r="J248" s="87"/>
      <c r="K248" s="84"/>
      <c r="L248" s="84"/>
      <c r="M248" s="87"/>
      <c r="N248" s="3">
        <f>206+769.9</f>
        <v>975.9</v>
      </c>
      <c r="O248" s="3">
        <f>150+8</f>
        <v>158</v>
      </c>
      <c r="P248" s="3"/>
      <c r="Q248" s="3">
        <f>190.2+748.6</f>
        <v>938.8</v>
      </c>
      <c r="R248" s="3">
        <v>134.3</v>
      </c>
      <c r="S248" s="3"/>
      <c r="T248" s="3">
        <v>906</v>
      </c>
      <c r="U248" s="3">
        <f>150+500</f>
        <v>650</v>
      </c>
      <c r="V248" s="3"/>
      <c r="W248" s="3">
        <v>1206</v>
      </c>
      <c r="X248" s="3">
        <f>150+700</f>
        <v>850</v>
      </c>
      <c r="Y248" s="3"/>
      <c r="Z248" s="3">
        <v>1206</v>
      </c>
      <c r="AA248" s="3">
        <f>150+700</f>
        <v>850</v>
      </c>
      <c r="AB248" s="3"/>
      <c r="AC248" s="3">
        <v>1206</v>
      </c>
      <c r="AD248" s="3">
        <f>150+700</f>
        <v>850</v>
      </c>
      <c r="AE248" s="3"/>
      <c r="AF248" s="83"/>
      <c r="AG248" s="83"/>
      <c r="AH248" s="26">
        <f>206+769.9</f>
        <v>975.9</v>
      </c>
      <c r="AI248" s="26">
        <f>150+8</f>
        <v>158</v>
      </c>
      <c r="AJ248" s="26"/>
      <c r="AK248" s="26">
        <v>906</v>
      </c>
      <c r="AL248" s="26">
        <f>150+500</f>
        <v>650</v>
      </c>
      <c r="AM248" s="26"/>
      <c r="AN248" s="26">
        <v>1206</v>
      </c>
      <c r="AO248" s="26">
        <f>150+700</f>
        <v>850</v>
      </c>
      <c r="AP248" s="26"/>
      <c r="AQ248" s="26">
        <v>1206</v>
      </c>
      <c r="AR248" s="26">
        <f>150+700</f>
        <v>850</v>
      </c>
      <c r="AS248" s="26"/>
      <c r="AT248" s="26">
        <v>1206</v>
      </c>
      <c r="AU248" s="26">
        <f>150+700</f>
        <v>850</v>
      </c>
      <c r="AV248" s="26"/>
    </row>
    <row r="249" spans="1:48" s="2" customFormat="1" ht="15.75" customHeight="1">
      <c r="A249" s="18"/>
      <c r="B249" s="4"/>
      <c r="C249" s="10"/>
      <c r="D249" s="3"/>
      <c r="E249" s="54"/>
      <c r="F249" s="53"/>
      <c r="G249" s="54"/>
      <c r="H249" s="40"/>
      <c r="I249" s="40"/>
      <c r="J249" s="53"/>
      <c r="K249" s="54"/>
      <c r="L249" s="54"/>
      <c r="M249" s="53"/>
      <c r="N249" s="14">
        <f>SUM(N250+N251+N252+N253+N254+N255+N256)</f>
        <v>317.2</v>
      </c>
      <c r="O249" s="14">
        <f aca="true" t="shared" si="68" ref="O249:AB249">SUM(O250+O251+O252+O253+O254+O255+O256)</f>
        <v>0</v>
      </c>
      <c r="P249" s="14">
        <f t="shared" si="68"/>
        <v>0</v>
      </c>
      <c r="Q249" s="14">
        <f t="shared" si="68"/>
        <v>255.10000000000002</v>
      </c>
      <c r="R249" s="14">
        <f t="shared" si="68"/>
        <v>0</v>
      </c>
      <c r="S249" s="14">
        <f t="shared" si="68"/>
        <v>0</v>
      </c>
      <c r="T249" s="14">
        <f t="shared" si="68"/>
        <v>451.4</v>
      </c>
      <c r="U249" s="14">
        <f t="shared" si="68"/>
        <v>0</v>
      </c>
      <c r="V249" s="14">
        <f t="shared" si="68"/>
        <v>0</v>
      </c>
      <c r="W249" s="14">
        <f t="shared" si="68"/>
        <v>546.2</v>
      </c>
      <c r="X249" s="14">
        <f t="shared" si="68"/>
        <v>0</v>
      </c>
      <c r="Y249" s="14">
        <f t="shared" si="68"/>
        <v>0</v>
      </c>
      <c r="Z249" s="14">
        <f t="shared" si="68"/>
        <v>538.2</v>
      </c>
      <c r="AA249" s="14">
        <f t="shared" si="68"/>
        <v>0</v>
      </c>
      <c r="AB249" s="14">
        <f t="shared" si="68"/>
        <v>0</v>
      </c>
      <c r="AC249" s="14">
        <f>SUM(AC250+AC251+AC252+AC253+AC254+AC255+AC256)</f>
        <v>538.2</v>
      </c>
      <c r="AD249" s="14">
        <f>SUM(AD250+AD251+AD252+AD253+AD254+AD255+AD256)</f>
        <v>0</v>
      </c>
      <c r="AE249" s="14">
        <f>SUM(AE250+AE251+AE252+AE253+AE254+AE255+AE256)</f>
        <v>0</v>
      </c>
      <c r="AF249" s="12"/>
      <c r="AG249" s="58"/>
      <c r="AH249" s="14">
        <f>SUM(AH250+AH251+AH252+AH253+AH254+AH255+AH256)</f>
        <v>317.2</v>
      </c>
      <c r="AI249" s="14">
        <f aca="true" t="shared" si="69" ref="AI249:AS249">SUM(AI250+AI251+AI252+AI253+AI254+AI255+AI256)</f>
        <v>0</v>
      </c>
      <c r="AJ249" s="14">
        <f t="shared" si="69"/>
        <v>0</v>
      </c>
      <c r="AK249" s="14">
        <f t="shared" si="69"/>
        <v>451.4</v>
      </c>
      <c r="AL249" s="14">
        <f t="shared" si="69"/>
        <v>0</v>
      </c>
      <c r="AM249" s="14">
        <f t="shared" si="69"/>
        <v>0</v>
      </c>
      <c r="AN249" s="14">
        <f t="shared" si="69"/>
        <v>546.2</v>
      </c>
      <c r="AO249" s="14">
        <f t="shared" si="69"/>
        <v>0</v>
      </c>
      <c r="AP249" s="14">
        <f t="shared" si="69"/>
        <v>0</v>
      </c>
      <c r="AQ249" s="14">
        <f t="shared" si="69"/>
        <v>538.2</v>
      </c>
      <c r="AR249" s="14">
        <f t="shared" si="69"/>
        <v>0</v>
      </c>
      <c r="AS249" s="14">
        <f t="shared" si="69"/>
        <v>0</v>
      </c>
      <c r="AT249" s="14">
        <f>SUM(AT250+AT251+AT252+AT253+AT254+AT255+AT256)</f>
        <v>538.2</v>
      </c>
      <c r="AU249" s="14">
        <f>SUM(AU250+AU251+AU252+AU253+AU254+AU255+AU256)</f>
        <v>0</v>
      </c>
      <c r="AV249" s="14">
        <f>SUM(AV250+AV251+AV252+AV253+AV254+AV255+AV256)</f>
        <v>0</v>
      </c>
    </row>
    <row r="250" spans="1:48" ht="24.75" customHeight="1">
      <c r="A250" s="84" t="s">
        <v>20</v>
      </c>
      <c r="B250" s="91">
        <v>2216</v>
      </c>
      <c r="C250" s="10" t="s">
        <v>27</v>
      </c>
      <c r="D250" s="3">
        <v>122</v>
      </c>
      <c r="E250" s="84" t="s">
        <v>165</v>
      </c>
      <c r="F250" s="87" t="s">
        <v>234</v>
      </c>
      <c r="G250" s="84" t="s">
        <v>159</v>
      </c>
      <c r="H250" s="107"/>
      <c r="I250" s="84"/>
      <c r="J250" s="87"/>
      <c r="K250" s="84" t="s">
        <v>137</v>
      </c>
      <c r="L250" s="84" t="s">
        <v>120</v>
      </c>
      <c r="M250" s="87" t="s">
        <v>126</v>
      </c>
      <c r="N250" s="3">
        <v>108.6</v>
      </c>
      <c r="O250" s="3"/>
      <c r="P250" s="3"/>
      <c r="Q250" s="3">
        <v>105.4</v>
      </c>
      <c r="R250" s="3"/>
      <c r="S250" s="3"/>
      <c r="T250" s="3">
        <v>151</v>
      </c>
      <c r="U250" s="3"/>
      <c r="V250" s="3"/>
      <c r="W250" s="3">
        <v>112.8</v>
      </c>
      <c r="X250" s="3"/>
      <c r="Y250" s="3"/>
      <c r="Z250" s="3">
        <v>142.8</v>
      </c>
      <c r="AA250" s="3"/>
      <c r="AB250" s="3"/>
      <c r="AC250" s="3">
        <v>142.8</v>
      </c>
      <c r="AD250" s="3"/>
      <c r="AE250" s="3"/>
      <c r="AF250" s="81" t="s">
        <v>284</v>
      </c>
      <c r="AG250" s="81" t="s">
        <v>287</v>
      </c>
      <c r="AH250" s="26">
        <v>108.6</v>
      </c>
      <c r="AI250" s="26"/>
      <c r="AJ250" s="26"/>
      <c r="AK250" s="26">
        <v>151</v>
      </c>
      <c r="AL250" s="26"/>
      <c r="AM250" s="26"/>
      <c r="AN250" s="26">
        <v>112.8</v>
      </c>
      <c r="AO250" s="26"/>
      <c r="AP250" s="26"/>
      <c r="AQ250" s="26">
        <v>142.8</v>
      </c>
      <c r="AR250" s="26"/>
      <c r="AS250" s="26"/>
      <c r="AT250" s="26">
        <v>142.8</v>
      </c>
      <c r="AU250" s="26"/>
      <c r="AV250" s="26"/>
    </row>
    <row r="251" spans="1:48" ht="24.75" customHeight="1">
      <c r="A251" s="84"/>
      <c r="B251" s="91"/>
      <c r="C251" s="10" t="s">
        <v>27</v>
      </c>
      <c r="D251" s="3">
        <v>244</v>
      </c>
      <c r="E251" s="84"/>
      <c r="F251" s="87"/>
      <c r="G251" s="84"/>
      <c r="H251" s="107"/>
      <c r="I251" s="84"/>
      <c r="J251" s="87"/>
      <c r="K251" s="84"/>
      <c r="L251" s="84"/>
      <c r="M251" s="87"/>
      <c r="N251" s="3">
        <v>112.4</v>
      </c>
      <c r="O251" s="3"/>
      <c r="P251" s="3"/>
      <c r="Q251" s="3">
        <v>54</v>
      </c>
      <c r="R251" s="3"/>
      <c r="S251" s="3"/>
      <c r="T251" s="3">
        <v>100</v>
      </c>
      <c r="U251" s="3"/>
      <c r="V251" s="3"/>
      <c r="W251" s="3">
        <v>180</v>
      </c>
      <c r="X251" s="3"/>
      <c r="Y251" s="3"/>
      <c r="Z251" s="3">
        <v>165</v>
      </c>
      <c r="AA251" s="3"/>
      <c r="AB251" s="3"/>
      <c r="AC251" s="3">
        <v>165</v>
      </c>
      <c r="AD251" s="3"/>
      <c r="AE251" s="3"/>
      <c r="AF251" s="82"/>
      <c r="AG251" s="82"/>
      <c r="AH251" s="26">
        <v>112.4</v>
      </c>
      <c r="AI251" s="26"/>
      <c r="AJ251" s="26"/>
      <c r="AK251" s="26">
        <v>100</v>
      </c>
      <c r="AL251" s="26"/>
      <c r="AM251" s="26"/>
      <c r="AN251" s="26">
        <v>180</v>
      </c>
      <c r="AO251" s="26"/>
      <c r="AP251" s="26"/>
      <c r="AQ251" s="26">
        <v>165</v>
      </c>
      <c r="AR251" s="26"/>
      <c r="AS251" s="26"/>
      <c r="AT251" s="26">
        <v>165</v>
      </c>
      <c r="AU251" s="26"/>
      <c r="AV251" s="26"/>
    </row>
    <row r="252" spans="1:48" ht="24.75" customHeight="1">
      <c r="A252" s="84"/>
      <c r="B252" s="91"/>
      <c r="C252" s="10" t="s">
        <v>90</v>
      </c>
      <c r="D252" s="3">
        <v>122</v>
      </c>
      <c r="E252" s="84"/>
      <c r="F252" s="87"/>
      <c r="G252" s="84"/>
      <c r="H252" s="107"/>
      <c r="I252" s="84"/>
      <c r="J252" s="87"/>
      <c r="K252" s="84"/>
      <c r="L252" s="84"/>
      <c r="M252" s="87"/>
      <c r="N252" s="3">
        <v>61.2</v>
      </c>
      <c r="O252" s="3"/>
      <c r="P252" s="3"/>
      <c r="Q252" s="3">
        <f>60.7</f>
        <v>60.7</v>
      </c>
      <c r="R252" s="3"/>
      <c r="S252" s="3"/>
      <c r="T252" s="3">
        <v>170.4</v>
      </c>
      <c r="U252" s="3"/>
      <c r="V252" s="3"/>
      <c r="W252" s="3">
        <v>170.4</v>
      </c>
      <c r="X252" s="3"/>
      <c r="Y252" s="3"/>
      <c r="Z252" s="3">
        <v>170.4</v>
      </c>
      <c r="AA252" s="3"/>
      <c r="AB252" s="3"/>
      <c r="AC252" s="3">
        <v>170.4</v>
      </c>
      <c r="AD252" s="3"/>
      <c r="AE252" s="3"/>
      <c r="AF252" s="82"/>
      <c r="AG252" s="82"/>
      <c r="AH252" s="26">
        <v>61.2</v>
      </c>
      <c r="AI252" s="26"/>
      <c r="AJ252" s="26"/>
      <c r="AK252" s="26">
        <v>170.4</v>
      </c>
      <c r="AL252" s="26"/>
      <c r="AM252" s="26"/>
      <c r="AN252" s="26">
        <v>170.4</v>
      </c>
      <c r="AO252" s="26"/>
      <c r="AP252" s="26"/>
      <c r="AQ252" s="26">
        <v>170.4</v>
      </c>
      <c r="AR252" s="26"/>
      <c r="AS252" s="26"/>
      <c r="AT252" s="26">
        <v>170.4</v>
      </c>
      <c r="AU252" s="26"/>
      <c r="AV252" s="26"/>
    </row>
    <row r="253" spans="1:48" ht="24.75" customHeight="1">
      <c r="A253" s="84"/>
      <c r="B253" s="91"/>
      <c r="C253" s="10" t="s">
        <v>35</v>
      </c>
      <c r="D253" s="3">
        <v>122</v>
      </c>
      <c r="E253" s="84"/>
      <c r="F253" s="87"/>
      <c r="G253" s="84"/>
      <c r="H253" s="107"/>
      <c r="I253" s="84"/>
      <c r="J253" s="87"/>
      <c r="K253" s="84"/>
      <c r="L253" s="84"/>
      <c r="M253" s="87"/>
      <c r="N253" s="3">
        <v>8.2</v>
      </c>
      <c r="O253" s="3"/>
      <c r="P253" s="3"/>
      <c r="Q253" s="3">
        <v>8.2</v>
      </c>
      <c r="R253" s="3"/>
      <c r="S253" s="3"/>
      <c r="T253" s="3">
        <v>0</v>
      </c>
      <c r="U253" s="3"/>
      <c r="V253" s="3"/>
      <c r="W253" s="3">
        <v>30</v>
      </c>
      <c r="X253" s="3"/>
      <c r="Y253" s="3"/>
      <c r="Z253" s="3">
        <v>30</v>
      </c>
      <c r="AA253" s="3"/>
      <c r="AB253" s="3"/>
      <c r="AC253" s="3">
        <v>30</v>
      </c>
      <c r="AD253" s="3"/>
      <c r="AE253" s="3"/>
      <c r="AF253" s="82"/>
      <c r="AG253" s="82"/>
      <c r="AH253" s="26">
        <v>8.2</v>
      </c>
      <c r="AI253" s="26"/>
      <c r="AJ253" s="26"/>
      <c r="AK253" s="26">
        <v>0</v>
      </c>
      <c r="AL253" s="26"/>
      <c r="AM253" s="26"/>
      <c r="AN253" s="26">
        <v>30</v>
      </c>
      <c r="AO253" s="26"/>
      <c r="AP253" s="26"/>
      <c r="AQ253" s="26">
        <v>30</v>
      </c>
      <c r="AR253" s="26"/>
      <c r="AS253" s="26"/>
      <c r="AT253" s="26">
        <v>30</v>
      </c>
      <c r="AU253" s="26"/>
      <c r="AV253" s="26"/>
    </row>
    <row r="254" spans="1:48" ht="22.5" customHeight="1">
      <c r="A254" s="84"/>
      <c r="B254" s="91"/>
      <c r="C254" s="10" t="s">
        <v>35</v>
      </c>
      <c r="D254" s="3">
        <v>244</v>
      </c>
      <c r="E254" s="84"/>
      <c r="F254" s="87"/>
      <c r="G254" s="84"/>
      <c r="H254" s="107"/>
      <c r="I254" s="84"/>
      <c r="J254" s="87"/>
      <c r="K254" s="84"/>
      <c r="L254" s="84"/>
      <c r="M254" s="87"/>
      <c r="N254" s="14">
        <f>18</f>
        <v>18</v>
      </c>
      <c r="O254" s="3"/>
      <c r="P254" s="3"/>
      <c r="Q254" s="14">
        <v>18</v>
      </c>
      <c r="R254" s="3"/>
      <c r="S254" s="3"/>
      <c r="T254" s="3"/>
      <c r="U254" s="3"/>
      <c r="V254" s="3"/>
      <c r="W254" s="3"/>
      <c r="X254" s="3"/>
      <c r="Y254" s="3"/>
      <c r="Z254" s="3"/>
      <c r="AA254" s="3"/>
      <c r="AB254" s="3"/>
      <c r="AC254" s="3"/>
      <c r="AD254" s="3"/>
      <c r="AE254" s="3"/>
      <c r="AF254" s="82"/>
      <c r="AG254" s="82"/>
      <c r="AH254" s="14">
        <f>18</f>
        <v>18</v>
      </c>
      <c r="AI254" s="26"/>
      <c r="AJ254" s="26"/>
      <c r="AK254" s="26"/>
      <c r="AL254" s="26"/>
      <c r="AM254" s="26"/>
      <c r="AN254" s="26"/>
      <c r="AO254" s="26"/>
      <c r="AP254" s="26"/>
      <c r="AQ254" s="26"/>
      <c r="AR254" s="26"/>
      <c r="AS254" s="26"/>
      <c r="AT254" s="26"/>
      <c r="AU254" s="26"/>
      <c r="AV254" s="26"/>
    </row>
    <row r="255" spans="1:48" ht="21" customHeight="1">
      <c r="A255" s="84"/>
      <c r="B255" s="91"/>
      <c r="C255" s="10" t="s">
        <v>25</v>
      </c>
      <c r="D255" s="3">
        <v>323</v>
      </c>
      <c r="E255" s="84"/>
      <c r="F255" s="87"/>
      <c r="G255" s="84"/>
      <c r="H255" s="107"/>
      <c r="I255" s="84"/>
      <c r="J255" s="87"/>
      <c r="K255" s="84"/>
      <c r="L255" s="84"/>
      <c r="M255" s="87"/>
      <c r="N255" s="14"/>
      <c r="O255" s="3"/>
      <c r="P255" s="3"/>
      <c r="Q255" s="14"/>
      <c r="R255" s="3"/>
      <c r="S255" s="3"/>
      <c r="T255" s="3">
        <f>6000-6000</f>
        <v>0</v>
      </c>
      <c r="U255" s="3"/>
      <c r="V255" s="3"/>
      <c r="W255" s="3"/>
      <c r="X255" s="3"/>
      <c r="Y255" s="3"/>
      <c r="Z255" s="3"/>
      <c r="AA255" s="3"/>
      <c r="AB255" s="3"/>
      <c r="AC255" s="3"/>
      <c r="AD255" s="3"/>
      <c r="AE255" s="3"/>
      <c r="AF255" s="82"/>
      <c r="AG255" s="82"/>
      <c r="AH255" s="14"/>
      <c r="AI255" s="26"/>
      <c r="AJ255" s="26"/>
      <c r="AK255" s="26">
        <f>6000-6000</f>
        <v>0</v>
      </c>
      <c r="AL255" s="26"/>
      <c r="AM255" s="26"/>
      <c r="AN255" s="26"/>
      <c r="AO255" s="26"/>
      <c r="AP255" s="26"/>
      <c r="AQ255" s="26"/>
      <c r="AR255" s="26"/>
      <c r="AS255" s="26"/>
      <c r="AT255" s="26"/>
      <c r="AU255" s="26"/>
      <c r="AV255" s="26"/>
    </row>
    <row r="256" spans="1:48" ht="15.75" customHeight="1">
      <c r="A256" s="84"/>
      <c r="B256" s="91"/>
      <c r="C256" s="10" t="s">
        <v>25</v>
      </c>
      <c r="D256" s="3">
        <v>122</v>
      </c>
      <c r="E256" s="84"/>
      <c r="F256" s="87"/>
      <c r="G256" s="84"/>
      <c r="H256" s="107"/>
      <c r="I256" s="84"/>
      <c r="J256" s="87"/>
      <c r="K256" s="84"/>
      <c r="L256" s="84"/>
      <c r="M256" s="87"/>
      <c r="N256" s="3">
        <v>8.8</v>
      </c>
      <c r="O256" s="3"/>
      <c r="P256" s="3"/>
      <c r="Q256" s="3">
        <v>8.8</v>
      </c>
      <c r="R256" s="3"/>
      <c r="S256" s="3"/>
      <c r="T256" s="3">
        <v>30</v>
      </c>
      <c r="U256" s="3"/>
      <c r="V256" s="3"/>
      <c r="W256" s="3">
        <v>53</v>
      </c>
      <c r="X256" s="3"/>
      <c r="Y256" s="3"/>
      <c r="Z256" s="3">
        <v>30</v>
      </c>
      <c r="AA256" s="3"/>
      <c r="AB256" s="3"/>
      <c r="AC256" s="3">
        <v>30</v>
      </c>
      <c r="AD256" s="3"/>
      <c r="AE256" s="3"/>
      <c r="AF256" s="83"/>
      <c r="AG256" s="83"/>
      <c r="AH256" s="26">
        <v>8.8</v>
      </c>
      <c r="AI256" s="26"/>
      <c r="AJ256" s="26"/>
      <c r="AK256" s="26">
        <v>30</v>
      </c>
      <c r="AL256" s="26"/>
      <c r="AM256" s="26"/>
      <c r="AN256" s="26">
        <v>53</v>
      </c>
      <c r="AO256" s="26"/>
      <c r="AP256" s="26"/>
      <c r="AQ256" s="26">
        <v>30</v>
      </c>
      <c r="AR256" s="26"/>
      <c r="AS256" s="26"/>
      <c r="AT256" s="26">
        <v>30</v>
      </c>
      <c r="AU256" s="26"/>
      <c r="AV256" s="26"/>
    </row>
    <row r="257" spans="1:48" s="2" customFormat="1" ht="14.25" customHeight="1">
      <c r="A257" s="18"/>
      <c r="B257" s="4"/>
      <c r="C257" s="10"/>
      <c r="D257" s="3"/>
      <c r="E257" s="54"/>
      <c r="F257" s="53"/>
      <c r="G257" s="54"/>
      <c r="H257" s="40"/>
      <c r="I257" s="54"/>
      <c r="J257" s="53"/>
      <c r="K257" s="54"/>
      <c r="L257" s="54"/>
      <c r="M257" s="53"/>
      <c r="N257" s="14">
        <f>SUM(N258+N259+N260+N261+N262)</f>
        <v>2728.2</v>
      </c>
      <c r="O257" s="3">
        <f aca="true" t="shared" si="70" ref="O257:AB257">SUM(O258+O259+O260+O261+O262)</f>
        <v>2128.2</v>
      </c>
      <c r="P257" s="3">
        <f t="shared" si="70"/>
        <v>0</v>
      </c>
      <c r="Q257" s="3">
        <f t="shared" si="70"/>
        <v>2683.6</v>
      </c>
      <c r="R257" s="3">
        <f t="shared" si="70"/>
        <v>2128.2</v>
      </c>
      <c r="S257" s="3">
        <f t="shared" si="70"/>
        <v>0</v>
      </c>
      <c r="T257" s="3">
        <f t="shared" si="70"/>
        <v>500</v>
      </c>
      <c r="U257" s="3">
        <f t="shared" si="70"/>
        <v>0</v>
      </c>
      <c r="V257" s="3">
        <f t="shared" si="70"/>
        <v>0</v>
      </c>
      <c r="W257" s="3">
        <f t="shared" si="70"/>
        <v>2000</v>
      </c>
      <c r="X257" s="3">
        <f t="shared" si="70"/>
        <v>1000</v>
      </c>
      <c r="Y257" s="3">
        <f t="shared" si="70"/>
        <v>0</v>
      </c>
      <c r="Z257" s="3">
        <f t="shared" si="70"/>
        <v>2000</v>
      </c>
      <c r="AA257" s="3">
        <f t="shared" si="70"/>
        <v>1000</v>
      </c>
      <c r="AB257" s="3">
        <f t="shared" si="70"/>
        <v>0</v>
      </c>
      <c r="AC257" s="3">
        <f>SUM(AC258+AC259+AC260+AC261+AC262)</f>
        <v>2000</v>
      </c>
      <c r="AD257" s="3">
        <f>SUM(AD258+AD259+AD260+AD261+AD262)</f>
        <v>1000</v>
      </c>
      <c r="AE257" s="3">
        <f>SUM(AE258+AE259+AE260+AE261+AE262)</f>
        <v>0</v>
      </c>
      <c r="AF257" s="12"/>
      <c r="AG257" s="58"/>
      <c r="AH257" s="14">
        <f>SUM(AH258+AH259+AH260+AH261+AH262)</f>
        <v>2728.2</v>
      </c>
      <c r="AI257" s="26">
        <f aca="true" t="shared" si="71" ref="AI257:AS257">SUM(AI258+AI259+AI260+AI261+AI262)</f>
        <v>2128.2</v>
      </c>
      <c r="AJ257" s="26">
        <f t="shared" si="71"/>
        <v>0</v>
      </c>
      <c r="AK257" s="26">
        <f t="shared" si="71"/>
        <v>500</v>
      </c>
      <c r="AL257" s="26">
        <f t="shared" si="71"/>
        <v>0</v>
      </c>
      <c r="AM257" s="26">
        <f t="shared" si="71"/>
        <v>0</v>
      </c>
      <c r="AN257" s="26">
        <f t="shared" si="71"/>
        <v>2000</v>
      </c>
      <c r="AO257" s="26">
        <f t="shared" si="71"/>
        <v>1000</v>
      </c>
      <c r="AP257" s="26">
        <f t="shared" si="71"/>
        <v>0</v>
      </c>
      <c r="AQ257" s="26">
        <f t="shared" si="71"/>
        <v>2000</v>
      </c>
      <c r="AR257" s="26">
        <f t="shared" si="71"/>
        <v>1000</v>
      </c>
      <c r="AS257" s="26">
        <f t="shared" si="71"/>
        <v>0</v>
      </c>
      <c r="AT257" s="26">
        <f>SUM(AT258+AT259+AT260+AT261+AT262)</f>
        <v>2000</v>
      </c>
      <c r="AU257" s="26">
        <f>SUM(AU258+AU259+AU260+AU261+AU262)</f>
        <v>1000</v>
      </c>
      <c r="AV257" s="26">
        <f>SUM(AV258+AV259+AV260+AV261+AV262)</f>
        <v>0</v>
      </c>
    </row>
    <row r="258" spans="1:48" ht="31.5" customHeight="1">
      <c r="A258" s="84" t="s">
        <v>60</v>
      </c>
      <c r="B258" s="91">
        <v>2217</v>
      </c>
      <c r="C258" s="10" t="s">
        <v>61</v>
      </c>
      <c r="D258" s="3">
        <v>243</v>
      </c>
      <c r="E258" s="84" t="s">
        <v>165</v>
      </c>
      <c r="F258" s="87" t="s">
        <v>234</v>
      </c>
      <c r="G258" s="84" t="s">
        <v>159</v>
      </c>
      <c r="H258" s="107" t="s">
        <v>235</v>
      </c>
      <c r="I258" s="107" t="s">
        <v>217</v>
      </c>
      <c r="J258" s="87" t="s">
        <v>236</v>
      </c>
      <c r="K258" s="84" t="s">
        <v>150</v>
      </c>
      <c r="L258" s="91" t="s">
        <v>120</v>
      </c>
      <c r="M258" s="90" t="s">
        <v>126</v>
      </c>
      <c r="N258" s="3"/>
      <c r="O258" s="3"/>
      <c r="P258" s="3"/>
      <c r="Q258" s="3"/>
      <c r="R258" s="3"/>
      <c r="S258" s="3"/>
      <c r="T258" s="3"/>
      <c r="U258" s="3"/>
      <c r="V258" s="3"/>
      <c r="W258" s="3"/>
      <c r="X258" s="3"/>
      <c r="Y258" s="3"/>
      <c r="Z258" s="3"/>
      <c r="AA258" s="3"/>
      <c r="AB258" s="3"/>
      <c r="AC258" s="3"/>
      <c r="AD258" s="3"/>
      <c r="AE258" s="3"/>
      <c r="AF258" s="81" t="s">
        <v>284</v>
      </c>
      <c r="AG258" s="81" t="s">
        <v>287</v>
      </c>
      <c r="AH258" s="26"/>
      <c r="AI258" s="26"/>
      <c r="AJ258" s="26"/>
      <c r="AK258" s="26"/>
      <c r="AL258" s="26"/>
      <c r="AM258" s="26"/>
      <c r="AN258" s="26"/>
      <c r="AO258" s="26"/>
      <c r="AP258" s="26"/>
      <c r="AQ258" s="26"/>
      <c r="AR258" s="26"/>
      <c r="AS258" s="26"/>
      <c r="AT258" s="26"/>
      <c r="AU258" s="26"/>
      <c r="AV258" s="26"/>
    </row>
    <row r="259" spans="1:48" ht="21" customHeight="1">
      <c r="A259" s="84"/>
      <c r="B259" s="91"/>
      <c r="C259" s="10" t="s">
        <v>61</v>
      </c>
      <c r="D259" s="3">
        <v>244</v>
      </c>
      <c r="E259" s="84"/>
      <c r="F259" s="87"/>
      <c r="G259" s="84"/>
      <c r="H259" s="107"/>
      <c r="I259" s="107"/>
      <c r="J259" s="87"/>
      <c r="K259" s="84"/>
      <c r="L259" s="91"/>
      <c r="M259" s="90"/>
      <c r="N259" s="14">
        <f>427.1+172.9</f>
        <v>600</v>
      </c>
      <c r="O259" s="3"/>
      <c r="P259" s="3"/>
      <c r="Q259" s="3">
        <f>382.5+172.9</f>
        <v>555.4</v>
      </c>
      <c r="R259" s="3"/>
      <c r="S259" s="3"/>
      <c r="T259" s="3">
        <v>500</v>
      </c>
      <c r="U259" s="3"/>
      <c r="V259" s="3"/>
      <c r="W259" s="3">
        <v>2000</v>
      </c>
      <c r="X259" s="3">
        <f>1000</f>
        <v>1000</v>
      </c>
      <c r="Y259" s="3"/>
      <c r="Z259" s="3">
        <v>2000</v>
      </c>
      <c r="AA259" s="3">
        <f>1000</f>
        <v>1000</v>
      </c>
      <c r="AB259" s="3"/>
      <c r="AC259" s="3">
        <v>2000</v>
      </c>
      <c r="AD259" s="3">
        <f>1000</f>
        <v>1000</v>
      </c>
      <c r="AE259" s="3"/>
      <c r="AF259" s="82"/>
      <c r="AG259" s="82"/>
      <c r="AH259" s="14">
        <f>427.1+172.9</f>
        <v>600</v>
      </c>
      <c r="AI259" s="26"/>
      <c r="AJ259" s="26"/>
      <c r="AK259" s="26">
        <v>500</v>
      </c>
      <c r="AL259" s="26"/>
      <c r="AM259" s="26"/>
      <c r="AN259" s="26">
        <v>2000</v>
      </c>
      <c r="AO259" s="26">
        <f>1000</f>
        <v>1000</v>
      </c>
      <c r="AP259" s="26"/>
      <c r="AQ259" s="26">
        <v>2000</v>
      </c>
      <c r="AR259" s="26">
        <f>1000</f>
        <v>1000</v>
      </c>
      <c r="AS259" s="26"/>
      <c r="AT259" s="26">
        <v>2000</v>
      </c>
      <c r="AU259" s="26">
        <f>1000</f>
        <v>1000</v>
      </c>
      <c r="AV259" s="26"/>
    </row>
    <row r="260" spans="1:48" ht="25.5" customHeight="1">
      <c r="A260" s="84"/>
      <c r="B260" s="91"/>
      <c r="C260" s="10" t="s">
        <v>61</v>
      </c>
      <c r="D260" s="3">
        <v>810</v>
      </c>
      <c r="E260" s="84"/>
      <c r="F260" s="87"/>
      <c r="G260" s="84"/>
      <c r="H260" s="107"/>
      <c r="I260" s="107"/>
      <c r="J260" s="87"/>
      <c r="K260" s="84"/>
      <c r="L260" s="91"/>
      <c r="M260" s="90"/>
      <c r="N260" s="3"/>
      <c r="O260" s="3"/>
      <c r="P260" s="3"/>
      <c r="Q260" s="3"/>
      <c r="R260" s="3"/>
      <c r="S260" s="3"/>
      <c r="T260" s="3"/>
      <c r="U260" s="3"/>
      <c r="V260" s="3"/>
      <c r="W260" s="3"/>
      <c r="X260" s="3"/>
      <c r="Y260" s="3"/>
      <c r="Z260" s="3"/>
      <c r="AA260" s="3"/>
      <c r="AB260" s="3"/>
      <c r="AC260" s="3"/>
      <c r="AD260" s="3"/>
      <c r="AE260" s="3"/>
      <c r="AF260" s="82"/>
      <c r="AG260" s="82"/>
      <c r="AH260" s="26"/>
      <c r="AI260" s="26"/>
      <c r="AJ260" s="26"/>
      <c r="AK260" s="26"/>
      <c r="AL260" s="26"/>
      <c r="AM260" s="26"/>
      <c r="AN260" s="26"/>
      <c r="AO260" s="26"/>
      <c r="AP260" s="26"/>
      <c r="AQ260" s="26"/>
      <c r="AR260" s="26"/>
      <c r="AS260" s="26"/>
      <c r="AT260" s="26"/>
      <c r="AU260" s="26"/>
      <c r="AV260" s="26"/>
    </row>
    <row r="261" spans="1:48" ht="20.25" customHeight="1">
      <c r="A261" s="84"/>
      <c r="B261" s="91"/>
      <c r="C261" s="10" t="s">
        <v>62</v>
      </c>
      <c r="D261" s="3">
        <v>244</v>
      </c>
      <c r="E261" s="84"/>
      <c r="F261" s="87"/>
      <c r="G261" s="84"/>
      <c r="H261" s="107"/>
      <c r="I261" s="107"/>
      <c r="J261" s="87"/>
      <c r="K261" s="84"/>
      <c r="L261" s="91"/>
      <c r="M261" s="90"/>
      <c r="N261" s="3"/>
      <c r="O261" s="3"/>
      <c r="P261" s="3"/>
      <c r="Q261" s="3"/>
      <c r="R261" s="3"/>
      <c r="S261" s="3"/>
      <c r="T261" s="3"/>
      <c r="U261" s="3"/>
      <c r="V261" s="3"/>
      <c r="W261" s="3"/>
      <c r="X261" s="3"/>
      <c r="Y261" s="3"/>
      <c r="Z261" s="3"/>
      <c r="AA261" s="3"/>
      <c r="AB261" s="3"/>
      <c r="AC261" s="3"/>
      <c r="AD261" s="3"/>
      <c r="AE261" s="3"/>
      <c r="AF261" s="82"/>
      <c r="AG261" s="82"/>
      <c r="AH261" s="26"/>
      <c r="AI261" s="26"/>
      <c r="AJ261" s="26"/>
      <c r="AK261" s="26"/>
      <c r="AL261" s="26"/>
      <c r="AM261" s="26"/>
      <c r="AN261" s="26"/>
      <c r="AO261" s="26"/>
      <c r="AP261" s="26"/>
      <c r="AQ261" s="26"/>
      <c r="AR261" s="26"/>
      <c r="AS261" s="26"/>
      <c r="AT261" s="26"/>
      <c r="AU261" s="26"/>
      <c r="AV261" s="26"/>
    </row>
    <row r="262" spans="1:48" ht="45.75" customHeight="1">
      <c r="A262" s="84"/>
      <c r="B262" s="91"/>
      <c r="C262" s="10" t="s">
        <v>62</v>
      </c>
      <c r="D262" s="3">
        <v>414</v>
      </c>
      <c r="E262" s="84"/>
      <c r="F262" s="87"/>
      <c r="G262" s="84"/>
      <c r="H262" s="107"/>
      <c r="I262" s="107"/>
      <c r="J262" s="87"/>
      <c r="K262" s="84"/>
      <c r="L262" s="91"/>
      <c r="M262" s="90"/>
      <c r="N262" s="3">
        <v>2128.2</v>
      </c>
      <c r="O262" s="3">
        <v>2128.2</v>
      </c>
      <c r="P262" s="3"/>
      <c r="Q262" s="3">
        <f>2128.2</f>
        <v>2128.2</v>
      </c>
      <c r="R262" s="3">
        <f>2128.2</f>
        <v>2128.2</v>
      </c>
      <c r="S262" s="3"/>
      <c r="T262" s="3"/>
      <c r="U262" s="3"/>
      <c r="V262" s="3"/>
      <c r="W262" s="3"/>
      <c r="X262" s="3"/>
      <c r="Y262" s="3"/>
      <c r="Z262" s="3"/>
      <c r="AA262" s="3"/>
      <c r="AB262" s="3"/>
      <c r="AC262" s="3"/>
      <c r="AD262" s="3"/>
      <c r="AE262" s="3"/>
      <c r="AF262" s="83"/>
      <c r="AG262" s="83"/>
      <c r="AH262" s="26">
        <v>2128.2</v>
      </c>
      <c r="AI262" s="26">
        <v>2128.2</v>
      </c>
      <c r="AJ262" s="26"/>
      <c r="AK262" s="26"/>
      <c r="AL262" s="26"/>
      <c r="AM262" s="26"/>
      <c r="AN262" s="26"/>
      <c r="AO262" s="26"/>
      <c r="AP262" s="26"/>
      <c r="AQ262" s="26"/>
      <c r="AR262" s="26"/>
      <c r="AS262" s="26"/>
      <c r="AT262" s="26"/>
      <c r="AU262" s="26"/>
      <c r="AV262" s="26"/>
    </row>
    <row r="263" spans="1:48" ht="96.75" customHeight="1">
      <c r="A263" s="12" t="s">
        <v>11</v>
      </c>
      <c r="B263" s="4">
        <v>2300</v>
      </c>
      <c r="C263" s="10"/>
      <c r="D263" s="3"/>
      <c r="E263" s="52"/>
      <c r="F263" s="52"/>
      <c r="G263" s="52"/>
      <c r="H263" s="52"/>
      <c r="I263" s="52"/>
      <c r="J263" s="52"/>
      <c r="K263" s="52"/>
      <c r="L263" s="52"/>
      <c r="M263" s="52"/>
      <c r="N263" s="14">
        <f>SUM(N264+N266+N271)</f>
        <v>3748.7</v>
      </c>
      <c r="O263" s="3">
        <f aca="true" t="shared" si="72" ref="O263:AB263">SUM(O264+O266+O271)</f>
        <v>0</v>
      </c>
      <c r="P263" s="3">
        <f t="shared" si="72"/>
        <v>1119</v>
      </c>
      <c r="Q263" s="3">
        <f t="shared" si="72"/>
        <v>3585.6000000000004</v>
      </c>
      <c r="R263" s="3">
        <f t="shared" si="72"/>
        <v>0</v>
      </c>
      <c r="S263" s="3">
        <f t="shared" si="72"/>
        <v>1118.9</v>
      </c>
      <c r="T263" s="3">
        <f t="shared" si="72"/>
        <v>3767.6</v>
      </c>
      <c r="U263" s="3">
        <f t="shared" si="72"/>
        <v>0</v>
      </c>
      <c r="V263" s="3">
        <f t="shared" si="72"/>
        <v>1119</v>
      </c>
      <c r="W263" s="3">
        <f t="shared" si="72"/>
        <v>3993.8999999999996</v>
      </c>
      <c r="X263" s="3">
        <f t="shared" si="72"/>
        <v>0</v>
      </c>
      <c r="Y263" s="3">
        <f t="shared" si="72"/>
        <v>1332.3</v>
      </c>
      <c r="Z263" s="3">
        <f t="shared" si="72"/>
        <v>3700.9</v>
      </c>
      <c r="AA263" s="3">
        <f t="shared" si="72"/>
        <v>0</v>
      </c>
      <c r="AB263" s="3">
        <f t="shared" si="72"/>
        <v>1368.3000000000002</v>
      </c>
      <c r="AC263" s="3">
        <f>SUM(AC264+AC266+AC271)</f>
        <v>3700.9</v>
      </c>
      <c r="AD263" s="3">
        <f>SUM(AD264+AD266+AD271)</f>
        <v>0</v>
      </c>
      <c r="AE263" s="3">
        <f>SUM(AE264+AE266+AE271)</f>
        <v>1368.3000000000002</v>
      </c>
      <c r="AF263" s="12"/>
      <c r="AG263" s="58"/>
      <c r="AH263" s="14">
        <f>SUM(AH264+AH266+AH271)</f>
        <v>3748.7</v>
      </c>
      <c r="AI263" s="26">
        <f aca="true" t="shared" si="73" ref="AI263:AS263">SUM(AI264+AI266+AI271)</f>
        <v>0</v>
      </c>
      <c r="AJ263" s="26">
        <f t="shared" si="73"/>
        <v>1119</v>
      </c>
      <c r="AK263" s="26">
        <f t="shared" si="73"/>
        <v>3767.6</v>
      </c>
      <c r="AL263" s="26">
        <f t="shared" si="73"/>
        <v>0</v>
      </c>
      <c r="AM263" s="26">
        <f t="shared" si="73"/>
        <v>1119</v>
      </c>
      <c r="AN263" s="26">
        <f t="shared" si="73"/>
        <v>3993.8999999999996</v>
      </c>
      <c r="AO263" s="26">
        <f t="shared" si="73"/>
        <v>0</v>
      </c>
      <c r="AP263" s="26">
        <f t="shared" si="73"/>
        <v>1332.3</v>
      </c>
      <c r="AQ263" s="26">
        <f t="shared" si="73"/>
        <v>3700.9</v>
      </c>
      <c r="AR263" s="26">
        <f t="shared" si="73"/>
        <v>0</v>
      </c>
      <c r="AS263" s="26">
        <f t="shared" si="73"/>
        <v>1368.3000000000002</v>
      </c>
      <c r="AT263" s="26">
        <f>SUM(AT264+AT266+AT271)</f>
        <v>3700.9</v>
      </c>
      <c r="AU263" s="26">
        <f>SUM(AU264+AU266+AU271)</f>
        <v>0</v>
      </c>
      <c r="AV263" s="26">
        <f>SUM(AV264+AV266+AV271)</f>
        <v>1368.3000000000002</v>
      </c>
    </row>
    <row r="264" spans="1:48" ht="15">
      <c r="A264" s="42" t="s">
        <v>9</v>
      </c>
      <c r="B264" s="4"/>
      <c r="C264" s="10"/>
      <c r="D264" s="3"/>
      <c r="E264" s="52"/>
      <c r="F264" s="52"/>
      <c r="G264" s="52"/>
      <c r="H264" s="52"/>
      <c r="I264" s="52"/>
      <c r="J264" s="52"/>
      <c r="K264" s="52"/>
      <c r="L264" s="52"/>
      <c r="M264" s="52"/>
      <c r="N264" s="3">
        <f>SUM(N265)</f>
        <v>206.1</v>
      </c>
      <c r="O264" s="3">
        <f aca="true" t="shared" si="74" ref="O264:AE264">SUM(O265)</f>
        <v>0</v>
      </c>
      <c r="P264" s="3">
        <f t="shared" si="74"/>
        <v>0</v>
      </c>
      <c r="Q264" s="3">
        <f t="shared" si="74"/>
        <v>107.3</v>
      </c>
      <c r="R264" s="3">
        <f t="shared" si="74"/>
        <v>0</v>
      </c>
      <c r="S264" s="3">
        <f t="shared" si="74"/>
        <v>0</v>
      </c>
      <c r="T264" s="3">
        <f t="shared" si="74"/>
        <v>200</v>
      </c>
      <c r="U264" s="3">
        <f t="shared" si="74"/>
        <v>0</v>
      </c>
      <c r="V264" s="3">
        <f t="shared" si="74"/>
        <v>0</v>
      </c>
      <c r="W264" s="3">
        <f t="shared" si="74"/>
        <v>200</v>
      </c>
      <c r="X264" s="3">
        <f t="shared" si="74"/>
        <v>0</v>
      </c>
      <c r="Y264" s="3">
        <f t="shared" si="74"/>
        <v>0</v>
      </c>
      <c r="Z264" s="3">
        <f t="shared" si="74"/>
        <v>200</v>
      </c>
      <c r="AA264" s="3">
        <f t="shared" si="74"/>
        <v>0</v>
      </c>
      <c r="AB264" s="3">
        <f t="shared" si="74"/>
        <v>0</v>
      </c>
      <c r="AC264" s="3">
        <f t="shared" si="74"/>
        <v>200</v>
      </c>
      <c r="AD264" s="3">
        <f t="shared" si="74"/>
        <v>0</v>
      </c>
      <c r="AE264" s="3">
        <f t="shared" si="74"/>
        <v>0</v>
      </c>
      <c r="AF264" s="12"/>
      <c r="AG264" s="58"/>
      <c r="AH264" s="26">
        <f>SUM(AH265)</f>
        <v>206.1</v>
      </c>
      <c r="AI264" s="26">
        <f aca="true" t="shared" si="75" ref="AI264:AV264">SUM(AI265)</f>
        <v>0</v>
      </c>
      <c r="AJ264" s="26">
        <f t="shared" si="75"/>
        <v>0</v>
      </c>
      <c r="AK264" s="26">
        <f t="shared" si="75"/>
        <v>200</v>
      </c>
      <c r="AL264" s="26">
        <f t="shared" si="75"/>
        <v>0</v>
      </c>
      <c r="AM264" s="26">
        <f t="shared" si="75"/>
        <v>0</v>
      </c>
      <c r="AN264" s="26">
        <f t="shared" si="75"/>
        <v>200</v>
      </c>
      <c r="AO264" s="26">
        <f t="shared" si="75"/>
        <v>0</v>
      </c>
      <c r="AP264" s="26">
        <f t="shared" si="75"/>
        <v>0</v>
      </c>
      <c r="AQ264" s="26">
        <f t="shared" si="75"/>
        <v>200</v>
      </c>
      <c r="AR264" s="26">
        <f t="shared" si="75"/>
        <v>0</v>
      </c>
      <c r="AS264" s="26">
        <f t="shared" si="75"/>
        <v>0</v>
      </c>
      <c r="AT264" s="26">
        <f t="shared" si="75"/>
        <v>200</v>
      </c>
      <c r="AU264" s="26">
        <f t="shared" si="75"/>
        <v>0</v>
      </c>
      <c r="AV264" s="26">
        <f t="shared" si="75"/>
        <v>0</v>
      </c>
    </row>
    <row r="265" spans="1:48" ht="45" customHeight="1">
      <c r="A265" s="12" t="s">
        <v>48</v>
      </c>
      <c r="B265" s="4">
        <v>2314</v>
      </c>
      <c r="C265" s="10" t="s">
        <v>49</v>
      </c>
      <c r="D265" s="3">
        <v>244</v>
      </c>
      <c r="E265" s="52" t="s">
        <v>165</v>
      </c>
      <c r="F265" s="7" t="s">
        <v>237</v>
      </c>
      <c r="G265" s="52" t="s">
        <v>159</v>
      </c>
      <c r="H265" s="52"/>
      <c r="I265" s="52"/>
      <c r="J265" s="7"/>
      <c r="K265" s="52" t="s">
        <v>150</v>
      </c>
      <c r="L265" s="52" t="s">
        <v>120</v>
      </c>
      <c r="M265" s="7" t="s">
        <v>126</v>
      </c>
      <c r="N265" s="3">
        <v>206.1</v>
      </c>
      <c r="O265" s="3"/>
      <c r="P265" s="3"/>
      <c r="Q265" s="3">
        <v>107.3</v>
      </c>
      <c r="R265" s="3"/>
      <c r="S265" s="3"/>
      <c r="T265" s="3">
        <v>200</v>
      </c>
      <c r="U265" s="3"/>
      <c r="V265" s="3"/>
      <c r="W265" s="3">
        <v>200</v>
      </c>
      <c r="X265" s="3"/>
      <c r="Y265" s="3"/>
      <c r="Z265" s="3">
        <v>200</v>
      </c>
      <c r="AA265" s="3"/>
      <c r="AB265" s="3"/>
      <c r="AC265" s="3">
        <v>200</v>
      </c>
      <c r="AD265" s="3"/>
      <c r="AE265" s="3"/>
      <c r="AF265" s="46" t="s">
        <v>284</v>
      </c>
      <c r="AG265" s="58" t="s">
        <v>287</v>
      </c>
      <c r="AH265" s="26">
        <v>206.1</v>
      </c>
      <c r="AI265" s="26"/>
      <c r="AJ265" s="26"/>
      <c r="AK265" s="26">
        <v>200</v>
      </c>
      <c r="AL265" s="26"/>
      <c r="AM265" s="26"/>
      <c r="AN265" s="26">
        <v>200</v>
      </c>
      <c r="AO265" s="26"/>
      <c r="AP265" s="26"/>
      <c r="AQ265" s="26">
        <v>200</v>
      </c>
      <c r="AR265" s="26"/>
      <c r="AS265" s="26"/>
      <c r="AT265" s="26">
        <v>200</v>
      </c>
      <c r="AU265" s="26"/>
      <c r="AV265" s="26"/>
    </row>
    <row r="266" spans="1:49" s="8" customFormat="1" ht="13.5" customHeight="1">
      <c r="A266" s="12"/>
      <c r="B266" s="4"/>
      <c r="C266" s="10"/>
      <c r="D266" s="3"/>
      <c r="E266" s="52"/>
      <c r="F266" s="7"/>
      <c r="G266" s="52"/>
      <c r="H266" s="52"/>
      <c r="I266" s="52"/>
      <c r="J266" s="7"/>
      <c r="K266" s="52"/>
      <c r="L266" s="52"/>
      <c r="M266" s="7"/>
      <c r="N266" s="14">
        <f>SUM(N267+N268+N269+N270)</f>
        <v>1300</v>
      </c>
      <c r="O266" s="3">
        <f aca="true" t="shared" si="76" ref="O266:AB266">SUM(O267+O268+O269+O270)</f>
        <v>0</v>
      </c>
      <c r="P266" s="3">
        <f t="shared" si="76"/>
        <v>1119</v>
      </c>
      <c r="Q266" s="3">
        <f t="shared" si="76"/>
        <v>1299.9</v>
      </c>
      <c r="R266" s="3">
        <f t="shared" si="76"/>
        <v>0</v>
      </c>
      <c r="S266" s="3">
        <f t="shared" si="76"/>
        <v>1118.9</v>
      </c>
      <c r="T266" s="3">
        <f t="shared" si="76"/>
        <v>1300</v>
      </c>
      <c r="U266" s="3">
        <f t="shared" si="76"/>
        <v>0</v>
      </c>
      <c r="V266" s="3">
        <f t="shared" si="76"/>
        <v>1119</v>
      </c>
      <c r="W266" s="3">
        <f t="shared" si="76"/>
        <v>1513.3</v>
      </c>
      <c r="X266" s="3">
        <f t="shared" si="76"/>
        <v>0</v>
      </c>
      <c r="Y266" s="3">
        <f t="shared" si="76"/>
        <v>1332.3</v>
      </c>
      <c r="Z266" s="3">
        <f t="shared" si="76"/>
        <v>1559.3000000000002</v>
      </c>
      <c r="AA266" s="3">
        <f t="shared" si="76"/>
        <v>0</v>
      </c>
      <c r="AB266" s="3">
        <f t="shared" si="76"/>
        <v>1368.3000000000002</v>
      </c>
      <c r="AC266" s="3">
        <f>SUM(AC267+AC268+AC269+AC270)</f>
        <v>1559.3000000000002</v>
      </c>
      <c r="AD266" s="3">
        <f>SUM(AD267+AD268+AD269+AD270)</f>
        <v>0</v>
      </c>
      <c r="AE266" s="3">
        <f>SUM(AE267+AE268+AE269+AE270)</f>
        <v>1368.3000000000002</v>
      </c>
      <c r="AF266" s="12"/>
      <c r="AG266" s="58"/>
      <c r="AH266" s="14">
        <f>SUM(AH267+AH268+AH269+AH270)</f>
        <v>1300</v>
      </c>
      <c r="AI266" s="26">
        <f aca="true" t="shared" si="77" ref="AI266:AS266">SUM(AI267+AI268+AI269+AI270)</f>
        <v>0</v>
      </c>
      <c r="AJ266" s="26">
        <f t="shared" si="77"/>
        <v>1119</v>
      </c>
      <c r="AK266" s="26">
        <f t="shared" si="77"/>
        <v>1300</v>
      </c>
      <c r="AL266" s="26">
        <f t="shared" si="77"/>
        <v>0</v>
      </c>
      <c r="AM266" s="26">
        <f t="shared" si="77"/>
        <v>1119</v>
      </c>
      <c r="AN266" s="26">
        <f t="shared" si="77"/>
        <v>1513.3</v>
      </c>
      <c r="AO266" s="26">
        <f t="shared" si="77"/>
        <v>0</v>
      </c>
      <c r="AP266" s="26">
        <f t="shared" si="77"/>
        <v>1332.3</v>
      </c>
      <c r="AQ266" s="26">
        <f t="shared" si="77"/>
        <v>1559.3000000000002</v>
      </c>
      <c r="AR266" s="26">
        <f t="shared" si="77"/>
        <v>0</v>
      </c>
      <c r="AS266" s="26">
        <f t="shared" si="77"/>
        <v>1368.3000000000002</v>
      </c>
      <c r="AT266" s="26">
        <f>SUM(AT267+AT268+AT269+AT270)</f>
        <v>1559.3000000000002</v>
      </c>
      <c r="AU266" s="26">
        <f>SUM(AU267+AU268+AU269+AU270)</f>
        <v>0</v>
      </c>
      <c r="AV266" s="26">
        <f>SUM(AV267+AV268+AV269+AV270)</f>
        <v>1368.3000000000002</v>
      </c>
      <c r="AW266" s="22"/>
    </row>
    <row r="267" spans="1:48" ht="24.75" customHeight="1">
      <c r="A267" s="113" t="s">
        <v>85</v>
      </c>
      <c r="B267" s="91">
        <v>2316</v>
      </c>
      <c r="C267" s="10" t="s">
        <v>24</v>
      </c>
      <c r="D267" s="3">
        <v>111</v>
      </c>
      <c r="E267" s="84" t="s">
        <v>238</v>
      </c>
      <c r="F267" s="87" t="s">
        <v>239</v>
      </c>
      <c r="G267" s="84" t="s">
        <v>240</v>
      </c>
      <c r="H267" s="84"/>
      <c r="I267" s="84"/>
      <c r="J267" s="87"/>
      <c r="K267" s="84" t="s">
        <v>136</v>
      </c>
      <c r="L267" s="84" t="s">
        <v>120</v>
      </c>
      <c r="M267" s="87" t="s">
        <v>126</v>
      </c>
      <c r="N267" s="3">
        <v>859.4</v>
      </c>
      <c r="O267" s="3"/>
      <c r="P267" s="3">
        <v>859.4</v>
      </c>
      <c r="Q267" s="3">
        <v>859.4</v>
      </c>
      <c r="R267" s="3"/>
      <c r="S267" s="3">
        <v>859.4</v>
      </c>
      <c r="T267" s="3">
        <v>859.4</v>
      </c>
      <c r="U267" s="3"/>
      <c r="V267" s="3">
        <v>859.4</v>
      </c>
      <c r="W267" s="3">
        <v>1023.3</v>
      </c>
      <c r="X267" s="3"/>
      <c r="Y267" s="3">
        <v>1023.3</v>
      </c>
      <c r="Z267" s="3">
        <v>1050.9</v>
      </c>
      <c r="AA267" s="3"/>
      <c r="AB267" s="3">
        <v>1050.9</v>
      </c>
      <c r="AC267" s="3">
        <v>1050.9</v>
      </c>
      <c r="AD267" s="3"/>
      <c r="AE267" s="3">
        <v>1050.9</v>
      </c>
      <c r="AF267" s="81" t="s">
        <v>284</v>
      </c>
      <c r="AG267" s="81" t="s">
        <v>287</v>
      </c>
      <c r="AH267" s="26">
        <v>859.4</v>
      </c>
      <c r="AI267" s="26"/>
      <c r="AJ267" s="26">
        <v>859.4</v>
      </c>
      <c r="AK267" s="26">
        <v>859.4</v>
      </c>
      <c r="AL267" s="26"/>
      <c r="AM267" s="26">
        <v>859.4</v>
      </c>
      <c r="AN267" s="26">
        <v>1023.3</v>
      </c>
      <c r="AO267" s="26"/>
      <c r="AP267" s="26">
        <v>1023.3</v>
      </c>
      <c r="AQ267" s="26">
        <v>1050.9</v>
      </c>
      <c r="AR267" s="26"/>
      <c r="AS267" s="26">
        <v>1050.9</v>
      </c>
      <c r="AT267" s="26">
        <v>1050.9</v>
      </c>
      <c r="AU267" s="26"/>
      <c r="AV267" s="26">
        <v>1050.9</v>
      </c>
    </row>
    <row r="268" spans="1:48" ht="18" customHeight="1">
      <c r="A268" s="113"/>
      <c r="B268" s="91"/>
      <c r="C268" s="10" t="s">
        <v>24</v>
      </c>
      <c r="D268" s="3">
        <v>119</v>
      </c>
      <c r="E268" s="84"/>
      <c r="F268" s="87"/>
      <c r="G268" s="84"/>
      <c r="H268" s="84"/>
      <c r="I268" s="84"/>
      <c r="J268" s="87"/>
      <c r="K268" s="84"/>
      <c r="L268" s="84"/>
      <c r="M268" s="87"/>
      <c r="N268" s="3">
        <v>259.6</v>
      </c>
      <c r="O268" s="3"/>
      <c r="P268" s="3">
        <v>259.6</v>
      </c>
      <c r="Q268" s="3">
        <v>259.5</v>
      </c>
      <c r="R268" s="3"/>
      <c r="S268" s="3">
        <v>259.5</v>
      </c>
      <c r="T268" s="3">
        <v>259.6</v>
      </c>
      <c r="U268" s="3"/>
      <c r="V268" s="3">
        <v>259.6</v>
      </c>
      <c r="W268" s="3">
        <v>309</v>
      </c>
      <c r="X268" s="3"/>
      <c r="Y268" s="3">
        <v>309</v>
      </c>
      <c r="Z268" s="3">
        <v>317.4</v>
      </c>
      <c r="AA268" s="3"/>
      <c r="AB268" s="3">
        <v>317.4</v>
      </c>
      <c r="AC268" s="3">
        <v>317.4</v>
      </c>
      <c r="AD268" s="3"/>
      <c r="AE268" s="3">
        <v>317.4</v>
      </c>
      <c r="AF268" s="82"/>
      <c r="AG268" s="82"/>
      <c r="AH268" s="26">
        <v>259.6</v>
      </c>
      <c r="AI268" s="26"/>
      <c r="AJ268" s="26">
        <v>259.6</v>
      </c>
      <c r="AK268" s="26">
        <v>259.6</v>
      </c>
      <c r="AL268" s="26"/>
      <c r="AM268" s="26">
        <v>259.6</v>
      </c>
      <c r="AN268" s="26">
        <v>309</v>
      </c>
      <c r="AO268" s="26"/>
      <c r="AP268" s="26">
        <v>309</v>
      </c>
      <c r="AQ268" s="26">
        <v>317.4</v>
      </c>
      <c r="AR268" s="26"/>
      <c r="AS268" s="26">
        <v>317.4</v>
      </c>
      <c r="AT268" s="26">
        <v>317.4</v>
      </c>
      <c r="AU268" s="26"/>
      <c r="AV268" s="26">
        <v>317.4</v>
      </c>
    </row>
    <row r="269" spans="1:48" ht="19.5" customHeight="1">
      <c r="A269" s="113"/>
      <c r="B269" s="91"/>
      <c r="C269" s="10" t="s">
        <v>24</v>
      </c>
      <c r="D269" s="3">
        <v>244</v>
      </c>
      <c r="E269" s="84"/>
      <c r="F269" s="87"/>
      <c r="G269" s="84"/>
      <c r="H269" s="84"/>
      <c r="I269" s="84"/>
      <c r="J269" s="87"/>
      <c r="K269" s="84"/>
      <c r="L269" s="84"/>
      <c r="M269" s="87"/>
      <c r="N269" s="14">
        <f>150+31</f>
        <v>181</v>
      </c>
      <c r="O269" s="3"/>
      <c r="P269" s="3"/>
      <c r="Q269" s="14">
        <f>150+31</f>
        <v>181</v>
      </c>
      <c r="R269" s="3"/>
      <c r="S269" s="3"/>
      <c r="T269" s="3">
        <v>181</v>
      </c>
      <c r="U269" s="3"/>
      <c r="V269" s="3"/>
      <c r="W269" s="3">
        <v>181</v>
      </c>
      <c r="X269" s="3"/>
      <c r="Y269" s="3"/>
      <c r="Z269" s="3">
        <v>191</v>
      </c>
      <c r="AA269" s="3"/>
      <c r="AB269" s="3"/>
      <c r="AC269" s="3">
        <v>191</v>
      </c>
      <c r="AD269" s="3"/>
      <c r="AE269" s="3"/>
      <c r="AF269" s="82"/>
      <c r="AG269" s="82"/>
      <c r="AH269" s="14">
        <f>150+31</f>
        <v>181</v>
      </c>
      <c r="AI269" s="26"/>
      <c r="AJ269" s="26"/>
      <c r="AK269" s="26">
        <v>181</v>
      </c>
      <c r="AL269" s="26"/>
      <c r="AM269" s="26"/>
      <c r="AN269" s="26">
        <v>181</v>
      </c>
      <c r="AO269" s="26"/>
      <c r="AP269" s="26"/>
      <c r="AQ269" s="26">
        <v>191</v>
      </c>
      <c r="AR269" s="26"/>
      <c r="AS269" s="26"/>
      <c r="AT269" s="26">
        <v>191</v>
      </c>
      <c r="AU269" s="26"/>
      <c r="AV269" s="26"/>
    </row>
    <row r="270" spans="1:48" ht="21" customHeight="1">
      <c r="A270" s="113"/>
      <c r="B270" s="91"/>
      <c r="C270" s="10" t="s">
        <v>24</v>
      </c>
      <c r="D270" s="3">
        <v>853</v>
      </c>
      <c r="E270" s="84"/>
      <c r="F270" s="87"/>
      <c r="G270" s="84"/>
      <c r="H270" s="84"/>
      <c r="I270" s="84"/>
      <c r="J270" s="87"/>
      <c r="K270" s="84"/>
      <c r="L270" s="84"/>
      <c r="M270" s="87"/>
      <c r="N270" s="3"/>
      <c r="O270" s="3"/>
      <c r="P270" s="3"/>
      <c r="Q270" s="3"/>
      <c r="R270" s="3"/>
      <c r="S270" s="3"/>
      <c r="T270" s="3"/>
      <c r="U270" s="3"/>
      <c r="V270" s="3"/>
      <c r="W270" s="3"/>
      <c r="X270" s="3"/>
      <c r="Y270" s="3"/>
      <c r="Z270" s="3"/>
      <c r="AA270" s="3"/>
      <c r="AB270" s="3"/>
      <c r="AC270" s="3"/>
      <c r="AD270" s="3"/>
      <c r="AE270" s="3"/>
      <c r="AF270" s="83"/>
      <c r="AG270" s="83"/>
      <c r="AH270" s="26"/>
      <c r="AI270" s="26"/>
      <c r="AJ270" s="26"/>
      <c r="AK270" s="26"/>
      <c r="AL270" s="26"/>
      <c r="AM270" s="26"/>
      <c r="AN270" s="26"/>
      <c r="AO270" s="26"/>
      <c r="AP270" s="26"/>
      <c r="AQ270" s="26"/>
      <c r="AR270" s="26"/>
      <c r="AS270" s="26"/>
      <c r="AT270" s="26"/>
      <c r="AU270" s="26"/>
      <c r="AV270" s="26"/>
    </row>
    <row r="271" spans="1:48" s="2" customFormat="1" ht="14.25" customHeight="1">
      <c r="A271" s="15"/>
      <c r="B271" s="4"/>
      <c r="C271" s="10"/>
      <c r="D271" s="3"/>
      <c r="E271" s="54"/>
      <c r="F271" s="53"/>
      <c r="G271" s="54"/>
      <c r="H271" s="54"/>
      <c r="I271" s="54"/>
      <c r="J271" s="53"/>
      <c r="K271" s="54"/>
      <c r="L271" s="54"/>
      <c r="M271" s="53"/>
      <c r="N271" s="14">
        <f>SUM(N272+N273+N274+N275+N276)</f>
        <v>2242.6</v>
      </c>
      <c r="O271" s="3">
        <f aca="true" t="shared" si="78" ref="O271:AB271">SUM(O272+O273+O274+O275+O276)</f>
        <v>0</v>
      </c>
      <c r="P271" s="3">
        <f t="shared" si="78"/>
        <v>0</v>
      </c>
      <c r="Q271" s="3">
        <f t="shared" si="78"/>
        <v>2178.4</v>
      </c>
      <c r="R271" s="3">
        <f t="shared" si="78"/>
        <v>0</v>
      </c>
      <c r="S271" s="3">
        <f t="shared" si="78"/>
        <v>0</v>
      </c>
      <c r="T271" s="3">
        <f t="shared" si="78"/>
        <v>2267.6</v>
      </c>
      <c r="U271" s="3">
        <f t="shared" si="78"/>
        <v>0</v>
      </c>
      <c r="V271" s="3">
        <f t="shared" si="78"/>
        <v>0</v>
      </c>
      <c r="W271" s="3">
        <f t="shared" si="78"/>
        <v>2280.6</v>
      </c>
      <c r="X271" s="3">
        <f t="shared" si="78"/>
        <v>0</v>
      </c>
      <c r="Y271" s="3">
        <f t="shared" si="78"/>
        <v>0</v>
      </c>
      <c r="Z271" s="3">
        <f t="shared" si="78"/>
        <v>1941.6</v>
      </c>
      <c r="AA271" s="3">
        <f t="shared" si="78"/>
        <v>0</v>
      </c>
      <c r="AB271" s="3">
        <f t="shared" si="78"/>
        <v>0</v>
      </c>
      <c r="AC271" s="3">
        <f>SUM(AC272+AC273+AC274+AC275+AC276)</f>
        <v>1941.6</v>
      </c>
      <c r="AD271" s="3">
        <f>SUM(AD272+AD273+AD274+AD275+AD276)</f>
        <v>0</v>
      </c>
      <c r="AE271" s="3">
        <f>SUM(AE272+AE273+AE274+AE275+AE276)</f>
        <v>0</v>
      </c>
      <c r="AF271" s="12"/>
      <c r="AG271" s="58"/>
      <c r="AH271" s="14">
        <f>SUM(AH272+AH273+AH274+AH275+AH276)</f>
        <v>2242.6</v>
      </c>
      <c r="AI271" s="26">
        <f aca="true" t="shared" si="79" ref="AI271:AS271">SUM(AI272+AI273+AI274+AI275+AI276)</f>
        <v>0</v>
      </c>
      <c r="AJ271" s="26">
        <f t="shared" si="79"/>
        <v>0</v>
      </c>
      <c r="AK271" s="26">
        <f t="shared" si="79"/>
        <v>2267.6</v>
      </c>
      <c r="AL271" s="26">
        <f t="shared" si="79"/>
        <v>0</v>
      </c>
      <c r="AM271" s="26">
        <f t="shared" si="79"/>
        <v>0</v>
      </c>
      <c r="AN271" s="26">
        <f t="shared" si="79"/>
        <v>2280.6</v>
      </c>
      <c r="AO271" s="26">
        <f t="shared" si="79"/>
        <v>0</v>
      </c>
      <c r="AP271" s="26">
        <f t="shared" si="79"/>
        <v>0</v>
      </c>
      <c r="AQ271" s="26">
        <f t="shared" si="79"/>
        <v>1941.6</v>
      </c>
      <c r="AR271" s="26">
        <f t="shared" si="79"/>
        <v>0</v>
      </c>
      <c r="AS271" s="26">
        <f t="shared" si="79"/>
        <v>0</v>
      </c>
      <c r="AT271" s="26">
        <f>SUM(AT272+AT273+AT274+AT275+AT276)</f>
        <v>1941.6</v>
      </c>
      <c r="AU271" s="26">
        <f>SUM(AU272+AU273+AU274+AU275+AU276)</f>
        <v>0</v>
      </c>
      <c r="AV271" s="26">
        <f>SUM(AV272+AV273+AV274+AV275+AV276)</f>
        <v>0</v>
      </c>
    </row>
    <row r="272" spans="1:48" s="2" customFormat="1" ht="21.75" customHeight="1">
      <c r="A272" s="113" t="s">
        <v>86</v>
      </c>
      <c r="B272" s="91">
        <v>2317</v>
      </c>
      <c r="C272" s="19" t="s">
        <v>35</v>
      </c>
      <c r="D272" s="18">
        <v>244</v>
      </c>
      <c r="E272" s="84" t="s">
        <v>165</v>
      </c>
      <c r="F272" s="87" t="s">
        <v>241</v>
      </c>
      <c r="G272" s="84" t="s">
        <v>240</v>
      </c>
      <c r="H272" s="84"/>
      <c r="I272" s="84"/>
      <c r="J272" s="87"/>
      <c r="K272" s="58" t="s">
        <v>157</v>
      </c>
      <c r="L272" s="52"/>
      <c r="M272" s="7">
        <v>43101</v>
      </c>
      <c r="N272" s="3">
        <v>122.6</v>
      </c>
      <c r="O272" s="3"/>
      <c r="P272" s="3"/>
      <c r="Q272" s="3">
        <v>122.6</v>
      </c>
      <c r="R272" s="3"/>
      <c r="S272" s="3"/>
      <c r="T272" s="3">
        <v>127.6</v>
      </c>
      <c r="U272" s="3"/>
      <c r="V272" s="3"/>
      <c r="W272" s="3">
        <v>127.6</v>
      </c>
      <c r="X272" s="3"/>
      <c r="Y272" s="3"/>
      <c r="Z272" s="3">
        <v>127.6</v>
      </c>
      <c r="AA272" s="3"/>
      <c r="AB272" s="3"/>
      <c r="AC272" s="3">
        <v>127.6</v>
      </c>
      <c r="AD272" s="3"/>
      <c r="AE272" s="3"/>
      <c r="AF272" s="81" t="s">
        <v>284</v>
      </c>
      <c r="AG272" s="130" t="s">
        <v>286</v>
      </c>
      <c r="AH272" s="26">
        <v>122.6</v>
      </c>
      <c r="AI272" s="26"/>
      <c r="AJ272" s="26"/>
      <c r="AK272" s="26">
        <v>127.6</v>
      </c>
      <c r="AL272" s="26"/>
      <c r="AM272" s="26"/>
      <c r="AN272" s="26">
        <v>127.6</v>
      </c>
      <c r="AO272" s="26"/>
      <c r="AP272" s="26"/>
      <c r="AQ272" s="26">
        <v>127.6</v>
      </c>
      <c r="AR272" s="26"/>
      <c r="AS272" s="26"/>
      <c r="AT272" s="26">
        <v>127.6</v>
      </c>
      <c r="AU272" s="26"/>
      <c r="AV272" s="26"/>
    </row>
    <row r="273" spans="1:48" s="2" customFormat="1" ht="24" customHeight="1">
      <c r="A273" s="113"/>
      <c r="B273" s="91"/>
      <c r="C273" s="19" t="s">
        <v>35</v>
      </c>
      <c r="D273" s="18">
        <v>244</v>
      </c>
      <c r="E273" s="84"/>
      <c r="F273" s="87"/>
      <c r="G273" s="84"/>
      <c r="H273" s="84"/>
      <c r="I273" s="84"/>
      <c r="J273" s="87"/>
      <c r="K273" s="91" t="s">
        <v>136</v>
      </c>
      <c r="L273" s="84" t="s">
        <v>120</v>
      </c>
      <c r="M273" s="87" t="s">
        <v>126</v>
      </c>
      <c r="N273" s="14">
        <v>850</v>
      </c>
      <c r="O273" s="3"/>
      <c r="P273" s="3"/>
      <c r="Q273" s="3">
        <v>828.8</v>
      </c>
      <c r="R273" s="3"/>
      <c r="S273" s="3"/>
      <c r="T273" s="3">
        <v>850</v>
      </c>
      <c r="U273" s="3"/>
      <c r="V273" s="3"/>
      <c r="W273" s="3">
        <v>850</v>
      </c>
      <c r="X273" s="3"/>
      <c r="Y273" s="3"/>
      <c r="Z273" s="3">
        <v>850</v>
      </c>
      <c r="AA273" s="3"/>
      <c r="AB273" s="3"/>
      <c r="AC273" s="3">
        <v>850</v>
      </c>
      <c r="AD273" s="3"/>
      <c r="AE273" s="3"/>
      <c r="AF273" s="82"/>
      <c r="AG273" s="132"/>
      <c r="AH273" s="14">
        <v>850</v>
      </c>
      <c r="AI273" s="26"/>
      <c r="AJ273" s="26"/>
      <c r="AK273" s="26">
        <v>850</v>
      </c>
      <c r="AL273" s="26"/>
      <c r="AM273" s="26"/>
      <c r="AN273" s="26">
        <v>850</v>
      </c>
      <c r="AO273" s="26"/>
      <c r="AP273" s="26"/>
      <c r="AQ273" s="26">
        <v>850</v>
      </c>
      <c r="AR273" s="26"/>
      <c r="AS273" s="26"/>
      <c r="AT273" s="26">
        <v>850</v>
      </c>
      <c r="AU273" s="26"/>
      <c r="AV273" s="26"/>
    </row>
    <row r="274" spans="1:48" s="2" customFormat="1" ht="20.25" customHeight="1">
      <c r="A274" s="113"/>
      <c r="B274" s="91"/>
      <c r="C274" s="10" t="s">
        <v>73</v>
      </c>
      <c r="D274" s="3">
        <v>321</v>
      </c>
      <c r="E274" s="84"/>
      <c r="F274" s="87"/>
      <c r="G274" s="84"/>
      <c r="H274" s="84"/>
      <c r="I274" s="84"/>
      <c r="J274" s="87"/>
      <c r="K274" s="91"/>
      <c r="L274" s="84"/>
      <c r="M274" s="87"/>
      <c r="N274" s="14">
        <v>100</v>
      </c>
      <c r="O274" s="3"/>
      <c r="P274" s="3"/>
      <c r="Q274" s="14">
        <v>57</v>
      </c>
      <c r="R274" s="3"/>
      <c r="S274" s="3"/>
      <c r="T274" s="3">
        <v>120</v>
      </c>
      <c r="U274" s="3"/>
      <c r="V274" s="3"/>
      <c r="W274" s="3">
        <f>129</f>
        <v>129</v>
      </c>
      <c r="X274" s="3"/>
      <c r="Y274" s="3"/>
      <c r="Z274" s="3">
        <v>100</v>
      </c>
      <c r="AA274" s="3"/>
      <c r="AB274" s="3"/>
      <c r="AC274" s="3">
        <v>100</v>
      </c>
      <c r="AD274" s="3"/>
      <c r="AE274" s="3"/>
      <c r="AF274" s="82"/>
      <c r="AG274" s="81" t="s">
        <v>287</v>
      </c>
      <c r="AH274" s="14">
        <v>100</v>
      </c>
      <c r="AI274" s="26"/>
      <c r="AJ274" s="26"/>
      <c r="AK274" s="26">
        <v>120</v>
      </c>
      <c r="AL274" s="26"/>
      <c r="AM274" s="26"/>
      <c r="AN274" s="26">
        <f>129</f>
        <v>129</v>
      </c>
      <c r="AO274" s="26"/>
      <c r="AP274" s="26"/>
      <c r="AQ274" s="26">
        <v>100</v>
      </c>
      <c r="AR274" s="26"/>
      <c r="AS274" s="26"/>
      <c r="AT274" s="26">
        <v>100</v>
      </c>
      <c r="AU274" s="26"/>
      <c r="AV274" s="26"/>
    </row>
    <row r="275" spans="1:48" s="2" customFormat="1" ht="23.25" customHeight="1">
      <c r="A275" s="113"/>
      <c r="B275" s="91"/>
      <c r="C275" s="10" t="s">
        <v>73</v>
      </c>
      <c r="D275" s="3">
        <v>323</v>
      </c>
      <c r="E275" s="84"/>
      <c r="F275" s="87"/>
      <c r="G275" s="84"/>
      <c r="H275" s="84"/>
      <c r="I275" s="84"/>
      <c r="J275" s="87"/>
      <c r="K275" s="91"/>
      <c r="L275" s="84"/>
      <c r="M275" s="87"/>
      <c r="N275" s="14">
        <f>1000+70</f>
        <v>1070</v>
      </c>
      <c r="O275" s="3"/>
      <c r="P275" s="3"/>
      <c r="Q275" s="14">
        <f>1000+70</f>
        <v>1070</v>
      </c>
      <c r="R275" s="3"/>
      <c r="S275" s="3"/>
      <c r="T275" s="3">
        <v>1070</v>
      </c>
      <c r="U275" s="3"/>
      <c r="V275" s="3"/>
      <c r="W275" s="3">
        <f>74+1000</f>
        <v>1074</v>
      </c>
      <c r="X275" s="3"/>
      <c r="Y275" s="3"/>
      <c r="Z275" s="3">
        <v>764</v>
      </c>
      <c r="AA275" s="3"/>
      <c r="AB275" s="3"/>
      <c r="AC275" s="3">
        <v>764</v>
      </c>
      <c r="AD275" s="3"/>
      <c r="AE275" s="3"/>
      <c r="AF275" s="82"/>
      <c r="AG275" s="82"/>
      <c r="AH275" s="14">
        <f>1000+70</f>
        <v>1070</v>
      </c>
      <c r="AI275" s="26"/>
      <c r="AJ275" s="26"/>
      <c r="AK275" s="26">
        <v>1070</v>
      </c>
      <c r="AL275" s="26"/>
      <c r="AM275" s="26"/>
      <c r="AN275" s="26">
        <f>74+1000</f>
        <v>1074</v>
      </c>
      <c r="AO275" s="26"/>
      <c r="AP275" s="26"/>
      <c r="AQ275" s="26">
        <v>764</v>
      </c>
      <c r="AR275" s="26"/>
      <c r="AS275" s="26"/>
      <c r="AT275" s="26">
        <v>764</v>
      </c>
      <c r="AU275" s="26"/>
      <c r="AV275" s="26"/>
    </row>
    <row r="276" spans="1:48" s="2" customFormat="1" ht="23.25" customHeight="1">
      <c r="A276" s="113"/>
      <c r="B276" s="91"/>
      <c r="C276" s="10" t="s">
        <v>74</v>
      </c>
      <c r="D276" s="3">
        <v>244</v>
      </c>
      <c r="E276" s="84"/>
      <c r="F276" s="87"/>
      <c r="G276" s="84"/>
      <c r="H276" s="84"/>
      <c r="I276" s="84"/>
      <c r="J276" s="87"/>
      <c r="K276" s="91"/>
      <c r="L276" s="84"/>
      <c r="M276" s="87"/>
      <c r="N276" s="14">
        <f>100</f>
        <v>100</v>
      </c>
      <c r="O276" s="3"/>
      <c r="P276" s="3"/>
      <c r="Q276" s="14">
        <v>100</v>
      </c>
      <c r="R276" s="3"/>
      <c r="S276" s="3"/>
      <c r="T276" s="3">
        <f>100</f>
        <v>100</v>
      </c>
      <c r="U276" s="3"/>
      <c r="V276" s="3"/>
      <c r="W276" s="3">
        <f>100</f>
        <v>100</v>
      </c>
      <c r="X276" s="3"/>
      <c r="Y276" s="3"/>
      <c r="Z276" s="3">
        <f>100</f>
        <v>100</v>
      </c>
      <c r="AA276" s="3"/>
      <c r="AB276" s="3"/>
      <c r="AC276" s="3">
        <f>100</f>
        <v>100</v>
      </c>
      <c r="AD276" s="3"/>
      <c r="AE276" s="3"/>
      <c r="AF276" s="83"/>
      <c r="AG276" s="83"/>
      <c r="AH276" s="14">
        <f>100</f>
        <v>100</v>
      </c>
      <c r="AI276" s="26"/>
      <c r="AJ276" s="26"/>
      <c r="AK276" s="26">
        <f>100</f>
        <v>100</v>
      </c>
      <c r="AL276" s="26"/>
      <c r="AM276" s="26"/>
      <c r="AN276" s="26">
        <f>100</f>
        <v>100</v>
      </c>
      <c r="AO276" s="26"/>
      <c r="AP276" s="26"/>
      <c r="AQ276" s="26">
        <f>100</f>
        <v>100</v>
      </c>
      <c r="AR276" s="26"/>
      <c r="AS276" s="26"/>
      <c r="AT276" s="26">
        <f>100</f>
        <v>100</v>
      </c>
      <c r="AU276" s="26"/>
      <c r="AV276" s="26"/>
    </row>
    <row r="277" spans="1:48" ht="121.5" customHeight="1">
      <c r="A277" s="12" t="s">
        <v>12</v>
      </c>
      <c r="B277" s="4">
        <v>2600</v>
      </c>
      <c r="C277" s="10"/>
      <c r="D277" s="3"/>
      <c r="E277" s="52"/>
      <c r="F277" s="52"/>
      <c r="G277" s="52"/>
      <c r="H277" s="52"/>
      <c r="I277" s="52"/>
      <c r="J277" s="52"/>
      <c r="K277" s="52"/>
      <c r="L277" s="52"/>
      <c r="M277" s="52"/>
      <c r="N277" s="14">
        <f aca="true" t="shared" si="80" ref="N277:AE277">SUM(N278+N283+N288+N294+N297+N300+N303+N309+N312+N315+N280)</f>
        <v>515378.5</v>
      </c>
      <c r="O277" s="3">
        <f t="shared" si="80"/>
        <v>10401</v>
      </c>
      <c r="P277" s="3">
        <f t="shared" si="80"/>
        <v>349919.19999999995</v>
      </c>
      <c r="Q277" s="3">
        <f t="shared" si="80"/>
        <v>501202.2</v>
      </c>
      <c r="R277" s="3">
        <f t="shared" si="80"/>
        <v>10303.6</v>
      </c>
      <c r="S277" s="3">
        <f t="shared" si="80"/>
        <v>348876.79999999993</v>
      </c>
      <c r="T277" s="3">
        <f t="shared" si="80"/>
        <v>514094.5</v>
      </c>
      <c r="U277" s="3">
        <f t="shared" si="80"/>
        <v>9854.3</v>
      </c>
      <c r="V277" s="3">
        <f t="shared" si="80"/>
        <v>355078</v>
      </c>
      <c r="W277" s="3">
        <f t="shared" si="80"/>
        <v>518872.1</v>
      </c>
      <c r="X277" s="3">
        <f t="shared" si="80"/>
        <v>10994.2</v>
      </c>
      <c r="Y277" s="3">
        <f t="shared" si="80"/>
        <v>358842.8</v>
      </c>
      <c r="Z277" s="3">
        <f t="shared" si="80"/>
        <v>530786.9</v>
      </c>
      <c r="AA277" s="3">
        <f t="shared" si="80"/>
        <v>10916.4</v>
      </c>
      <c r="AB277" s="3">
        <f t="shared" si="80"/>
        <v>370195.8</v>
      </c>
      <c r="AC277" s="3">
        <f t="shared" si="80"/>
        <v>530786.9</v>
      </c>
      <c r="AD277" s="3">
        <f t="shared" si="80"/>
        <v>10916.4</v>
      </c>
      <c r="AE277" s="3">
        <f t="shared" si="80"/>
        <v>370195.8</v>
      </c>
      <c r="AF277" s="12"/>
      <c r="AG277" s="58"/>
      <c r="AH277" s="14">
        <f aca="true" t="shared" si="81" ref="AH277:AV277">SUM(AH278+AH283+AH288+AH294+AH297+AH300+AH303+AH309+AH312+AH315+AH280)</f>
        <v>515378.5</v>
      </c>
      <c r="AI277" s="26">
        <f t="shared" si="81"/>
        <v>10401</v>
      </c>
      <c r="AJ277" s="26">
        <f t="shared" si="81"/>
        <v>349919.19999999995</v>
      </c>
      <c r="AK277" s="26">
        <f t="shared" si="81"/>
        <v>514094.5</v>
      </c>
      <c r="AL277" s="26">
        <f t="shared" si="81"/>
        <v>9854.3</v>
      </c>
      <c r="AM277" s="26">
        <f t="shared" si="81"/>
        <v>355078</v>
      </c>
      <c r="AN277" s="26">
        <f t="shared" si="81"/>
        <v>518872.1</v>
      </c>
      <c r="AO277" s="26">
        <f t="shared" si="81"/>
        <v>10994.2</v>
      </c>
      <c r="AP277" s="26">
        <f t="shared" si="81"/>
        <v>358842.8</v>
      </c>
      <c r="AQ277" s="26">
        <f t="shared" si="81"/>
        <v>530786.9</v>
      </c>
      <c r="AR277" s="26">
        <f t="shared" si="81"/>
        <v>10916.4</v>
      </c>
      <c r="AS277" s="26">
        <f t="shared" si="81"/>
        <v>370195.8</v>
      </c>
      <c r="AT277" s="26">
        <f t="shared" si="81"/>
        <v>530786.9</v>
      </c>
      <c r="AU277" s="26">
        <f t="shared" si="81"/>
        <v>10916.4</v>
      </c>
      <c r="AV277" s="26">
        <f t="shared" si="81"/>
        <v>370195.8</v>
      </c>
    </row>
    <row r="278" spans="1:48" ht="15.75" thickBot="1">
      <c r="A278" s="12" t="s">
        <v>9</v>
      </c>
      <c r="B278" s="4"/>
      <c r="C278" s="10"/>
      <c r="D278" s="3"/>
      <c r="E278" s="52"/>
      <c r="F278" s="52"/>
      <c r="G278" s="52"/>
      <c r="H278" s="52"/>
      <c r="I278" s="52"/>
      <c r="J278" s="52"/>
      <c r="K278" s="52"/>
      <c r="L278" s="52"/>
      <c r="M278" s="52"/>
      <c r="N278" s="3">
        <f>SUM(N279)</f>
        <v>0</v>
      </c>
      <c r="O278" s="3">
        <f aca="true" t="shared" si="82" ref="O278:AE278">SUM(O279)</f>
        <v>0</v>
      </c>
      <c r="P278" s="3">
        <f t="shared" si="82"/>
        <v>0</v>
      </c>
      <c r="Q278" s="3">
        <f t="shared" si="82"/>
        <v>0</v>
      </c>
      <c r="R278" s="3">
        <f t="shared" si="82"/>
        <v>0</v>
      </c>
      <c r="S278" s="3">
        <f t="shared" si="82"/>
        <v>0</v>
      </c>
      <c r="T278" s="3">
        <f t="shared" si="82"/>
        <v>172.8</v>
      </c>
      <c r="U278" s="3">
        <f t="shared" si="82"/>
        <v>0</v>
      </c>
      <c r="V278" s="3">
        <f t="shared" si="82"/>
        <v>0</v>
      </c>
      <c r="W278" s="3">
        <f t="shared" si="82"/>
        <v>11.6</v>
      </c>
      <c r="X278" s="3">
        <f t="shared" si="82"/>
        <v>0</v>
      </c>
      <c r="Y278" s="3">
        <f t="shared" si="82"/>
        <v>0</v>
      </c>
      <c r="Z278" s="3">
        <f t="shared" si="82"/>
        <v>18.7</v>
      </c>
      <c r="AA278" s="3">
        <f t="shared" si="82"/>
        <v>0</v>
      </c>
      <c r="AB278" s="3">
        <f t="shared" si="82"/>
        <v>0</v>
      </c>
      <c r="AC278" s="3">
        <f t="shared" si="82"/>
        <v>18.7</v>
      </c>
      <c r="AD278" s="3">
        <f t="shared" si="82"/>
        <v>0</v>
      </c>
      <c r="AE278" s="3">
        <f t="shared" si="82"/>
        <v>0</v>
      </c>
      <c r="AF278" s="12"/>
      <c r="AG278" s="58"/>
      <c r="AH278" s="26">
        <f>SUM(AH279)</f>
        <v>0</v>
      </c>
      <c r="AI278" s="26">
        <f aca="true" t="shared" si="83" ref="AI278:AV278">SUM(AI279)</f>
        <v>0</v>
      </c>
      <c r="AJ278" s="26">
        <f t="shared" si="83"/>
        <v>0</v>
      </c>
      <c r="AK278" s="26">
        <f t="shared" si="83"/>
        <v>172.8</v>
      </c>
      <c r="AL278" s="26">
        <f t="shared" si="83"/>
        <v>0</v>
      </c>
      <c r="AM278" s="26">
        <f t="shared" si="83"/>
        <v>0</v>
      </c>
      <c r="AN278" s="26">
        <f t="shared" si="83"/>
        <v>11.6</v>
      </c>
      <c r="AO278" s="26">
        <f t="shared" si="83"/>
        <v>0</v>
      </c>
      <c r="AP278" s="26">
        <f t="shared" si="83"/>
        <v>0</v>
      </c>
      <c r="AQ278" s="26">
        <f t="shared" si="83"/>
        <v>18.7</v>
      </c>
      <c r="AR278" s="26">
        <f t="shared" si="83"/>
        <v>0</v>
      </c>
      <c r="AS278" s="26">
        <f t="shared" si="83"/>
        <v>0</v>
      </c>
      <c r="AT278" s="26">
        <f t="shared" si="83"/>
        <v>18.7</v>
      </c>
      <c r="AU278" s="26">
        <f t="shared" si="83"/>
        <v>0</v>
      </c>
      <c r="AV278" s="26">
        <f t="shared" si="83"/>
        <v>0</v>
      </c>
    </row>
    <row r="279" spans="1:48" s="6" customFormat="1" ht="45.75" customHeight="1" thickBot="1">
      <c r="A279" s="12" t="s">
        <v>28</v>
      </c>
      <c r="B279" s="18">
        <v>2603</v>
      </c>
      <c r="C279" s="38" t="s">
        <v>29</v>
      </c>
      <c r="D279" s="12">
        <v>244</v>
      </c>
      <c r="E279" s="58" t="s">
        <v>242</v>
      </c>
      <c r="F279" s="57" t="s">
        <v>243</v>
      </c>
      <c r="G279" s="58" t="s">
        <v>244</v>
      </c>
      <c r="H279" s="58" t="s">
        <v>245</v>
      </c>
      <c r="I279" s="58" t="s">
        <v>168</v>
      </c>
      <c r="J279" s="57" t="s">
        <v>246</v>
      </c>
      <c r="K279" s="58" t="s">
        <v>137</v>
      </c>
      <c r="L279" s="54" t="s">
        <v>120</v>
      </c>
      <c r="M279" s="53" t="s">
        <v>126</v>
      </c>
      <c r="N279" s="12"/>
      <c r="O279" s="12"/>
      <c r="P279" s="18"/>
      <c r="Q279" s="18"/>
      <c r="R279" s="18"/>
      <c r="S279" s="18"/>
      <c r="T279" s="18">
        <v>172.8</v>
      </c>
      <c r="U279" s="18"/>
      <c r="V279" s="12"/>
      <c r="W279" s="18">
        <v>11.6</v>
      </c>
      <c r="X279" s="18"/>
      <c r="Y279" s="12"/>
      <c r="Z279" s="18">
        <v>18.7</v>
      </c>
      <c r="AA279" s="18"/>
      <c r="AB279" s="18"/>
      <c r="AC279" s="18">
        <v>18.7</v>
      </c>
      <c r="AD279" s="18"/>
      <c r="AE279" s="18"/>
      <c r="AF279" s="46" t="s">
        <v>284</v>
      </c>
      <c r="AG279" s="58" t="s">
        <v>287</v>
      </c>
      <c r="AH279" s="46"/>
      <c r="AI279" s="46"/>
      <c r="AJ279" s="24"/>
      <c r="AK279" s="24">
        <v>172.8</v>
      </c>
      <c r="AL279" s="24"/>
      <c r="AM279" s="46"/>
      <c r="AN279" s="24">
        <v>11.6</v>
      </c>
      <c r="AO279" s="24"/>
      <c r="AP279" s="46"/>
      <c r="AQ279" s="24">
        <v>18.7</v>
      </c>
      <c r="AR279" s="24"/>
      <c r="AS279" s="24"/>
      <c r="AT279" s="24">
        <v>18.7</v>
      </c>
      <c r="AU279" s="24"/>
      <c r="AV279" s="24"/>
    </row>
    <row r="280" spans="1:48" s="2" customFormat="1" ht="19.5" customHeight="1">
      <c r="A280" s="18"/>
      <c r="B280" s="4"/>
      <c r="C280" s="19"/>
      <c r="D280" s="18"/>
      <c r="E280" s="54"/>
      <c r="F280" s="53"/>
      <c r="G280" s="54"/>
      <c r="H280" s="54"/>
      <c r="I280" s="54"/>
      <c r="J280" s="53"/>
      <c r="K280" s="54"/>
      <c r="L280" s="54"/>
      <c r="M280" s="53"/>
      <c r="N280" s="18">
        <f aca="true" t="shared" si="84" ref="N280:AE280">SUM(N281)</f>
        <v>254</v>
      </c>
      <c r="O280" s="18">
        <f t="shared" si="84"/>
        <v>0</v>
      </c>
      <c r="P280" s="18">
        <f t="shared" si="84"/>
        <v>0</v>
      </c>
      <c r="Q280" s="18">
        <f t="shared" si="84"/>
        <v>254</v>
      </c>
      <c r="R280" s="18">
        <f t="shared" si="84"/>
        <v>0</v>
      </c>
      <c r="S280" s="18">
        <f t="shared" si="84"/>
        <v>0</v>
      </c>
      <c r="T280" s="18">
        <f t="shared" si="84"/>
        <v>262</v>
      </c>
      <c r="U280" s="18">
        <f t="shared" si="84"/>
        <v>0</v>
      </c>
      <c r="V280" s="18">
        <f t="shared" si="84"/>
        <v>0</v>
      </c>
      <c r="W280" s="18">
        <f t="shared" si="84"/>
        <v>272</v>
      </c>
      <c r="X280" s="18">
        <f t="shared" si="84"/>
        <v>0</v>
      </c>
      <c r="Y280" s="18">
        <f t="shared" si="84"/>
        <v>0</v>
      </c>
      <c r="Z280" s="18">
        <f t="shared" si="84"/>
        <v>283</v>
      </c>
      <c r="AA280" s="18">
        <f t="shared" si="84"/>
        <v>0</v>
      </c>
      <c r="AB280" s="18">
        <f t="shared" si="84"/>
        <v>0</v>
      </c>
      <c r="AC280" s="18">
        <f t="shared" si="84"/>
        <v>283</v>
      </c>
      <c r="AD280" s="18">
        <f t="shared" si="84"/>
        <v>0</v>
      </c>
      <c r="AE280" s="18">
        <f t="shared" si="84"/>
        <v>0</v>
      </c>
      <c r="AF280" s="12"/>
      <c r="AG280" s="58"/>
      <c r="AH280" s="24">
        <f aca="true" t="shared" si="85" ref="AH280:AV280">SUM(AH281)</f>
        <v>254</v>
      </c>
      <c r="AI280" s="24">
        <f t="shared" si="85"/>
        <v>0</v>
      </c>
      <c r="AJ280" s="24">
        <f t="shared" si="85"/>
        <v>0</v>
      </c>
      <c r="AK280" s="24">
        <f t="shared" si="85"/>
        <v>262</v>
      </c>
      <c r="AL280" s="24">
        <f t="shared" si="85"/>
        <v>0</v>
      </c>
      <c r="AM280" s="24">
        <f t="shared" si="85"/>
        <v>0</v>
      </c>
      <c r="AN280" s="24">
        <f t="shared" si="85"/>
        <v>272</v>
      </c>
      <c r="AO280" s="24">
        <f t="shared" si="85"/>
        <v>0</v>
      </c>
      <c r="AP280" s="24">
        <f t="shared" si="85"/>
        <v>0</v>
      </c>
      <c r="AQ280" s="24">
        <f t="shared" si="85"/>
        <v>283</v>
      </c>
      <c r="AR280" s="24">
        <f t="shared" si="85"/>
        <v>0</v>
      </c>
      <c r="AS280" s="24">
        <f t="shared" si="85"/>
        <v>0</v>
      </c>
      <c r="AT280" s="24">
        <f t="shared" si="85"/>
        <v>283</v>
      </c>
      <c r="AU280" s="24">
        <f t="shared" si="85"/>
        <v>0</v>
      </c>
      <c r="AV280" s="24">
        <f t="shared" si="85"/>
        <v>0</v>
      </c>
    </row>
    <row r="281" spans="1:48" ht="47.25" customHeight="1">
      <c r="A281" s="84" t="s">
        <v>38</v>
      </c>
      <c r="B281" s="84">
        <v>2605</v>
      </c>
      <c r="C281" s="98" t="s">
        <v>35</v>
      </c>
      <c r="D281" s="84">
        <v>244</v>
      </c>
      <c r="E281" s="84" t="s">
        <v>247</v>
      </c>
      <c r="F281" s="87" t="s">
        <v>248</v>
      </c>
      <c r="G281" s="84" t="s">
        <v>249</v>
      </c>
      <c r="H281" s="84" t="s">
        <v>250</v>
      </c>
      <c r="I281" s="84" t="s">
        <v>168</v>
      </c>
      <c r="J281" s="87" t="s">
        <v>251</v>
      </c>
      <c r="K281" s="84" t="s">
        <v>137</v>
      </c>
      <c r="L281" s="54" t="s">
        <v>120</v>
      </c>
      <c r="M281" s="53" t="s">
        <v>126</v>
      </c>
      <c r="N281" s="96">
        <v>254</v>
      </c>
      <c r="O281" s="84"/>
      <c r="P281" s="18"/>
      <c r="Q281" s="13">
        <v>254</v>
      </c>
      <c r="R281" s="18"/>
      <c r="S281" s="18"/>
      <c r="T281" s="84">
        <v>262</v>
      </c>
      <c r="U281" s="18"/>
      <c r="V281" s="84"/>
      <c r="W281" s="84">
        <v>272</v>
      </c>
      <c r="X281" s="18"/>
      <c r="Y281" s="84"/>
      <c r="Z281" s="84">
        <v>283</v>
      </c>
      <c r="AA281" s="18"/>
      <c r="AB281" s="18"/>
      <c r="AC281" s="84">
        <v>283</v>
      </c>
      <c r="AD281" s="18"/>
      <c r="AE281" s="18"/>
      <c r="AF281" s="46" t="s">
        <v>284</v>
      </c>
      <c r="AG281" s="58" t="s">
        <v>287</v>
      </c>
      <c r="AH281" s="96">
        <v>254</v>
      </c>
      <c r="AI281" s="84"/>
      <c r="AJ281" s="24"/>
      <c r="AK281" s="84">
        <v>262</v>
      </c>
      <c r="AL281" s="24"/>
      <c r="AM281" s="84"/>
      <c r="AN281" s="84">
        <v>272</v>
      </c>
      <c r="AO281" s="24"/>
      <c r="AP281" s="84"/>
      <c r="AQ281" s="84">
        <v>283</v>
      </c>
      <c r="AR281" s="24"/>
      <c r="AS281" s="24"/>
      <c r="AT281" s="84">
        <v>283</v>
      </c>
      <c r="AU281" s="24"/>
      <c r="AV281" s="24"/>
    </row>
    <row r="282" spans="1:48" ht="126" customHeight="1" hidden="1" thickBot="1">
      <c r="A282" s="84"/>
      <c r="B282" s="84"/>
      <c r="C282" s="98"/>
      <c r="D282" s="84"/>
      <c r="E282" s="84"/>
      <c r="F282" s="87"/>
      <c r="G282" s="84"/>
      <c r="H282" s="84"/>
      <c r="I282" s="84"/>
      <c r="J282" s="87"/>
      <c r="K282" s="84"/>
      <c r="L282" s="54"/>
      <c r="M282" s="53"/>
      <c r="N282" s="96"/>
      <c r="O282" s="84"/>
      <c r="P282" s="18"/>
      <c r="Q282" s="18"/>
      <c r="R282" s="18"/>
      <c r="S282" s="18"/>
      <c r="T282" s="84"/>
      <c r="U282" s="18"/>
      <c r="V282" s="84"/>
      <c r="W282" s="84"/>
      <c r="X282" s="18"/>
      <c r="Y282" s="84"/>
      <c r="Z282" s="84"/>
      <c r="AA282" s="18"/>
      <c r="AB282" s="18"/>
      <c r="AC282" s="84"/>
      <c r="AD282" s="18"/>
      <c r="AE282" s="18"/>
      <c r="AF282" s="12"/>
      <c r="AG282" s="58"/>
      <c r="AH282" s="96"/>
      <c r="AI282" s="84"/>
      <c r="AJ282" s="24"/>
      <c r="AK282" s="84"/>
      <c r="AL282" s="24"/>
      <c r="AM282" s="84"/>
      <c r="AN282" s="84"/>
      <c r="AO282" s="24"/>
      <c r="AP282" s="84"/>
      <c r="AQ282" s="84"/>
      <c r="AR282" s="24"/>
      <c r="AS282" s="24"/>
      <c r="AT282" s="84"/>
      <c r="AU282" s="24"/>
      <c r="AV282" s="24"/>
    </row>
    <row r="283" spans="1:49" s="8" customFormat="1" ht="16.5" customHeight="1">
      <c r="A283" s="18"/>
      <c r="B283" s="18"/>
      <c r="C283" s="19"/>
      <c r="D283" s="18"/>
      <c r="E283" s="54"/>
      <c r="F283" s="53"/>
      <c r="G283" s="54"/>
      <c r="H283" s="54"/>
      <c r="I283" s="54"/>
      <c r="J283" s="53"/>
      <c r="K283" s="54"/>
      <c r="L283" s="54"/>
      <c r="M283" s="53"/>
      <c r="N283" s="18">
        <f>SUM(N284+N285+N286+N287)</f>
        <v>359024.8</v>
      </c>
      <c r="O283" s="18">
        <f aca="true" t="shared" si="86" ref="O283:AB283">SUM(O284+O285+O286+O287)</f>
        <v>10225.2</v>
      </c>
      <c r="P283" s="18">
        <f t="shared" si="86"/>
        <v>346111</v>
      </c>
      <c r="Q283" s="18">
        <f t="shared" si="86"/>
        <v>357708.4</v>
      </c>
      <c r="R283" s="18">
        <f t="shared" si="86"/>
        <v>10225.2</v>
      </c>
      <c r="S283" s="18">
        <f t="shared" si="86"/>
        <v>345076.1</v>
      </c>
      <c r="T283" s="18">
        <f t="shared" si="86"/>
        <v>364405</v>
      </c>
      <c r="U283" s="18">
        <f t="shared" si="86"/>
        <v>8970</v>
      </c>
      <c r="V283" s="18">
        <f t="shared" si="86"/>
        <v>351078</v>
      </c>
      <c r="W283" s="18">
        <f t="shared" si="86"/>
        <v>368584</v>
      </c>
      <c r="X283" s="18">
        <f t="shared" si="86"/>
        <v>9900.7</v>
      </c>
      <c r="Y283" s="18">
        <f t="shared" si="86"/>
        <v>354724</v>
      </c>
      <c r="Z283" s="18">
        <f t="shared" si="86"/>
        <v>380492</v>
      </c>
      <c r="AA283" s="18">
        <f t="shared" si="86"/>
        <v>9822.9</v>
      </c>
      <c r="AB283" s="18">
        <f t="shared" si="86"/>
        <v>366077</v>
      </c>
      <c r="AC283" s="18">
        <f>SUM(AC284+AC285+AC286+AC287)</f>
        <v>380492</v>
      </c>
      <c r="AD283" s="18">
        <f>SUM(AD284+AD285+AD286+AD287)</f>
        <v>9822.9</v>
      </c>
      <c r="AE283" s="18">
        <f>SUM(AE284+AE285+AE286+AE287)</f>
        <v>366077</v>
      </c>
      <c r="AF283" s="12"/>
      <c r="AG283" s="58"/>
      <c r="AH283" s="24">
        <f>SUM(AH284+AH285+AH286+AH287)</f>
        <v>359024.8</v>
      </c>
      <c r="AI283" s="24">
        <f aca="true" t="shared" si="87" ref="AI283:AS283">SUM(AI284+AI285+AI286+AI287)</f>
        <v>10225.2</v>
      </c>
      <c r="AJ283" s="24">
        <f t="shared" si="87"/>
        <v>346111</v>
      </c>
      <c r="AK283" s="24">
        <f t="shared" si="87"/>
        <v>364405</v>
      </c>
      <c r="AL283" s="24">
        <f t="shared" si="87"/>
        <v>8970</v>
      </c>
      <c r="AM283" s="24">
        <f t="shared" si="87"/>
        <v>351078</v>
      </c>
      <c r="AN283" s="24">
        <f t="shared" si="87"/>
        <v>368584</v>
      </c>
      <c r="AO283" s="24">
        <f t="shared" si="87"/>
        <v>9900.7</v>
      </c>
      <c r="AP283" s="24">
        <f t="shared" si="87"/>
        <v>354724</v>
      </c>
      <c r="AQ283" s="24">
        <f t="shared" si="87"/>
        <v>380492</v>
      </c>
      <c r="AR283" s="24">
        <f t="shared" si="87"/>
        <v>9822.9</v>
      </c>
      <c r="AS283" s="24">
        <f t="shared" si="87"/>
        <v>366077</v>
      </c>
      <c r="AT283" s="24">
        <f>SUM(AT284+AT285+AT286+AT287)</f>
        <v>380492</v>
      </c>
      <c r="AU283" s="24">
        <f>SUM(AU284+AU285+AU286+AU287)</f>
        <v>9822.9</v>
      </c>
      <c r="AV283" s="24">
        <f>SUM(AV284+AV285+AV286+AV287)</f>
        <v>366077</v>
      </c>
      <c r="AW283" s="22"/>
    </row>
    <row r="284" spans="1:48" ht="27.75" customHeight="1">
      <c r="A284" s="116" t="s">
        <v>94</v>
      </c>
      <c r="B284" s="91">
        <v>2622</v>
      </c>
      <c r="C284" s="10" t="s">
        <v>93</v>
      </c>
      <c r="D284" s="3">
        <v>611</v>
      </c>
      <c r="E284" s="84" t="s">
        <v>247</v>
      </c>
      <c r="F284" s="90" t="s">
        <v>252</v>
      </c>
      <c r="G284" s="91" t="s">
        <v>249</v>
      </c>
      <c r="H284" s="84" t="s">
        <v>253</v>
      </c>
      <c r="I284" s="84" t="s">
        <v>254</v>
      </c>
      <c r="J284" s="87" t="s">
        <v>255</v>
      </c>
      <c r="K284" s="84" t="s">
        <v>154</v>
      </c>
      <c r="L284" s="91" t="s">
        <v>120</v>
      </c>
      <c r="M284" s="90" t="s">
        <v>126</v>
      </c>
      <c r="N284" s="3">
        <v>16337.1</v>
      </c>
      <c r="O284" s="3">
        <v>115.2</v>
      </c>
      <c r="P284" s="3">
        <v>16066.3</v>
      </c>
      <c r="Q284" s="3">
        <v>15817.5</v>
      </c>
      <c r="R284" s="3">
        <v>115.2</v>
      </c>
      <c r="S284" s="3">
        <v>15546.7</v>
      </c>
      <c r="T284" s="3"/>
      <c r="U284" s="3"/>
      <c r="V284" s="3"/>
      <c r="W284" s="3"/>
      <c r="X284" s="3"/>
      <c r="Y284" s="3"/>
      <c r="Z284" s="3"/>
      <c r="AA284" s="3"/>
      <c r="AB284" s="3"/>
      <c r="AC284" s="3"/>
      <c r="AD284" s="3"/>
      <c r="AE284" s="3"/>
      <c r="AF284" s="81" t="s">
        <v>285</v>
      </c>
      <c r="AG284" s="81" t="s">
        <v>287</v>
      </c>
      <c r="AH284" s="26">
        <v>16337.1</v>
      </c>
      <c r="AI284" s="26">
        <v>115.2</v>
      </c>
      <c r="AJ284" s="26">
        <v>16066.3</v>
      </c>
      <c r="AK284" s="26"/>
      <c r="AL284" s="26"/>
      <c r="AM284" s="26"/>
      <c r="AN284" s="26"/>
      <c r="AO284" s="26"/>
      <c r="AP284" s="26"/>
      <c r="AQ284" s="26"/>
      <c r="AR284" s="26"/>
      <c r="AS284" s="26"/>
      <c r="AT284" s="26"/>
      <c r="AU284" s="26"/>
      <c r="AV284" s="26"/>
    </row>
    <row r="285" spans="1:48" ht="30" customHeight="1">
      <c r="A285" s="116"/>
      <c r="B285" s="91"/>
      <c r="C285" s="10" t="s">
        <v>93</v>
      </c>
      <c r="D285" s="3">
        <v>621</v>
      </c>
      <c r="E285" s="84"/>
      <c r="F285" s="90"/>
      <c r="G285" s="91"/>
      <c r="H285" s="84"/>
      <c r="I285" s="84"/>
      <c r="J285" s="87"/>
      <c r="K285" s="84"/>
      <c r="L285" s="91"/>
      <c r="M285" s="90"/>
      <c r="N285" s="3">
        <v>134197.8</v>
      </c>
      <c r="O285" s="3">
        <v>1694</v>
      </c>
      <c r="P285" s="3">
        <v>131683.5</v>
      </c>
      <c r="Q285" s="3">
        <v>133916.3</v>
      </c>
      <c r="R285" s="3">
        <v>1694</v>
      </c>
      <c r="S285" s="3">
        <v>131683.5</v>
      </c>
      <c r="T285" s="3">
        <v>154087.5</v>
      </c>
      <c r="U285" s="3">
        <v>1909.5</v>
      </c>
      <c r="V285" s="3">
        <v>151213.5</v>
      </c>
      <c r="W285" s="3">
        <v>156391.5</v>
      </c>
      <c r="X285" s="3">
        <v>2495.7</v>
      </c>
      <c r="Y285" s="3">
        <v>153405.5</v>
      </c>
      <c r="Z285" s="3">
        <v>162197.5</v>
      </c>
      <c r="AA285" s="3">
        <v>2434.9</v>
      </c>
      <c r="AB285" s="3">
        <v>159094.5</v>
      </c>
      <c r="AC285" s="3">
        <v>162197.5</v>
      </c>
      <c r="AD285" s="3">
        <v>2434.9</v>
      </c>
      <c r="AE285" s="3">
        <v>159094.5</v>
      </c>
      <c r="AF285" s="82"/>
      <c r="AG285" s="82"/>
      <c r="AH285" s="26">
        <v>134197.8</v>
      </c>
      <c r="AI285" s="26">
        <v>1694</v>
      </c>
      <c r="AJ285" s="26">
        <v>131683.5</v>
      </c>
      <c r="AK285" s="26">
        <v>154087.5</v>
      </c>
      <c r="AL285" s="26">
        <v>1909.5</v>
      </c>
      <c r="AM285" s="26">
        <v>151213.5</v>
      </c>
      <c r="AN285" s="26">
        <v>156391.5</v>
      </c>
      <c r="AO285" s="26">
        <v>2495.7</v>
      </c>
      <c r="AP285" s="26">
        <v>153405.5</v>
      </c>
      <c r="AQ285" s="26">
        <v>162197.5</v>
      </c>
      <c r="AR285" s="26">
        <v>2434.9</v>
      </c>
      <c r="AS285" s="26">
        <v>159094.5</v>
      </c>
      <c r="AT285" s="26">
        <v>162197.5</v>
      </c>
      <c r="AU285" s="26">
        <v>2434.9</v>
      </c>
      <c r="AV285" s="26">
        <v>159094.5</v>
      </c>
    </row>
    <row r="286" spans="1:48" ht="40.5" customHeight="1">
      <c r="A286" s="116"/>
      <c r="B286" s="91"/>
      <c r="C286" s="10" t="s">
        <v>23</v>
      </c>
      <c r="D286" s="3">
        <v>611</v>
      </c>
      <c r="E286" s="84"/>
      <c r="F286" s="90"/>
      <c r="G286" s="91"/>
      <c r="H286" s="84"/>
      <c r="I286" s="84"/>
      <c r="J286" s="87"/>
      <c r="K286" s="84"/>
      <c r="L286" s="91"/>
      <c r="M286" s="90"/>
      <c r="N286" s="3">
        <v>12285.1</v>
      </c>
      <c r="O286" s="3">
        <v>488.9</v>
      </c>
      <c r="P286" s="3">
        <v>11609.4</v>
      </c>
      <c r="Q286" s="3">
        <v>12083.2</v>
      </c>
      <c r="R286" s="3">
        <v>488.9</v>
      </c>
      <c r="S286" s="3">
        <v>11407.5</v>
      </c>
      <c r="T286" s="3"/>
      <c r="U286" s="3"/>
      <c r="V286" s="3"/>
      <c r="W286" s="3"/>
      <c r="X286" s="3"/>
      <c r="Y286" s="3"/>
      <c r="Z286" s="3"/>
      <c r="AA286" s="3"/>
      <c r="AB286" s="3"/>
      <c r="AC286" s="3"/>
      <c r="AD286" s="3"/>
      <c r="AE286" s="3"/>
      <c r="AF286" s="82"/>
      <c r="AG286" s="82"/>
      <c r="AH286" s="26">
        <v>12285.1</v>
      </c>
      <c r="AI286" s="26">
        <v>488.9</v>
      </c>
      <c r="AJ286" s="26">
        <v>11609.4</v>
      </c>
      <c r="AK286" s="26"/>
      <c r="AL286" s="26"/>
      <c r="AM286" s="26"/>
      <c r="AN286" s="26"/>
      <c r="AO286" s="26"/>
      <c r="AP286" s="26"/>
      <c r="AQ286" s="26"/>
      <c r="AR286" s="26"/>
      <c r="AS286" s="26"/>
      <c r="AT286" s="26"/>
      <c r="AU286" s="26"/>
      <c r="AV286" s="26"/>
    </row>
    <row r="287" spans="1:48" ht="35.25" customHeight="1">
      <c r="A287" s="116"/>
      <c r="B287" s="91"/>
      <c r="C287" s="10" t="s">
        <v>23</v>
      </c>
      <c r="D287" s="3">
        <v>621</v>
      </c>
      <c r="E287" s="84"/>
      <c r="F287" s="90"/>
      <c r="G287" s="91"/>
      <c r="H287" s="84"/>
      <c r="I287" s="84"/>
      <c r="J287" s="87"/>
      <c r="K287" s="84"/>
      <c r="L287" s="91"/>
      <c r="M287" s="90"/>
      <c r="N287" s="3">
        <v>196204.8</v>
      </c>
      <c r="O287" s="3">
        <v>7927.1</v>
      </c>
      <c r="P287" s="3">
        <v>186751.8</v>
      </c>
      <c r="Q287" s="3">
        <v>195891.4</v>
      </c>
      <c r="R287" s="3">
        <v>7927.1</v>
      </c>
      <c r="S287" s="3">
        <v>186438.4</v>
      </c>
      <c r="T287" s="3">
        <v>210317.5</v>
      </c>
      <c r="U287" s="3">
        <v>7060.5</v>
      </c>
      <c r="V287" s="3">
        <v>199864.5</v>
      </c>
      <c r="W287" s="3">
        <v>212192.5</v>
      </c>
      <c r="X287" s="3">
        <v>7405</v>
      </c>
      <c r="Y287" s="3">
        <v>201318.5</v>
      </c>
      <c r="Z287" s="3">
        <v>218294.5</v>
      </c>
      <c r="AA287" s="3">
        <v>7388</v>
      </c>
      <c r="AB287" s="3">
        <v>206982.5</v>
      </c>
      <c r="AC287" s="3">
        <v>218294.5</v>
      </c>
      <c r="AD287" s="3">
        <v>7388</v>
      </c>
      <c r="AE287" s="3">
        <v>206982.5</v>
      </c>
      <c r="AF287" s="83"/>
      <c r="AG287" s="83"/>
      <c r="AH287" s="26">
        <v>196204.8</v>
      </c>
      <c r="AI287" s="26">
        <v>7927.1</v>
      </c>
      <c r="AJ287" s="26">
        <v>186751.8</v>
      </c>
      <c r="AK287" s="26">
        <v>210317.5</v>
      </c>
      <c r="AL287" s="26">
        <v>7060.5</v>
      </c>
      <c r="AM287" s="26">
        <v>199864.5</v>
      </c>
      <c r="AN287" s="26">
        <v>212192.5</v>
      </c>
      <c r="AO287" s="26">
        <v>7405</v>
      </c>
      <c r="AP287" s="26">
        <v>201318.5</v>
      </c>
      <c r="AQ287" s="26">
        <v>218294.5</v>
      </c>
      <c r="AR287" s="26">
        <v>7388</v>
      </c>
      <c r="AS287" s="26">
        <v>206982.5</v>
      </c>
      <c r="AT287" s="26">
        <v>218294.5</v>
      </c>
      <c r="AU287" s="26">
        <v>7388</v>
      </c>
      <c r="AV287" s="26">
        <v>206982.5</v>
      </c>
    </row>
    <row r="288" spans="1:48" s="2" customFormat="1" ht="18.75" customHeight="1">
      <c r="A288" s="43"/>
      <c r="B288" s="4"/>
      <c r="C288" s="10"/>
      <c r="D288" s="3"/>
      <c r="E288" s="54"/>
      <c r="F288" s="53"/>
      <c r="G288" s="54"/>
      <c r="H288" s="54"/>
      <c r="I288" s="54"/>
      <c r="J288" s="53"/>
      <c r="K288" s="54"/>
      <c r="L288" s="54"/>
      <c r="M288" s="53"/>
      <c r="N288" s="14">
        <f>SUM(N289+N290+N291+N292+N293)</f>
        <v>19924.000000000004</v>
      </c>
      <c r="O288" s="3">
        <f aca="true" t="shared" si="88" ref="O288:AB288">SUM(O289+O290+O291+O292+O293)</f>
        <v>0</v>
      </c>
      <c r="P288" s="3">
        <f t="shared" si="88"/>
        <v>895.0999999999999</v>
      </c>
      <c r="Q288" s="3">
        <f t="shared" si="88"/>
        <v>19772.800000000003</v>
      </c>
      <c r="R288" s="3">
        <f t="shared" si="88"/>
        <v>0</v>
      </c>
      <c r="S288" s="3">
        <f t="shared" si="88"/>
        <v>895.0999999999999</v>
      </c>
      <c r="T288" s="3">
        <f t="shared" si="88"/>
        <v>17999.999999999996</v>
      </c>
      <c r="U288" s="3">
        <f t="shared" si="88"/>
        <v>0</v>
      </c>
      <c r="V288" s="3">
        <f t="shared" si="88"/>
        <v>940.2</v>
      </c>
      <c r="W288" s="3">
        <f t="shared" si="88"/>
        <v>17999.999999999996</v>
      </c>
      <c r="X288" s="3">
        <f t="shared" si="88"/>
        <v>0</v>
      </c>
      <c r="Y288" s="3">
        <f t="shared" si="88"/>
        <v>968.1</v>
      </c>
      <c r="Z288" s="3">
        <f t="shared" si="88"/>
        <v>17999.999999999996</v>
      </c>
      <c r="AA288" s="3">
        <f t="shared" si="88"/>
        <v>0</v>
      </c>
      <c r="AB288" s="3">
        <f t="shared" si="88"/>
        <v>968.1</v>
      </c>
      <c r="AC288" s="3">
        <f>SUM(AC289+AC290+AC291+AC292+AC293)</f>
        <v>17999.999999999996</v>
      </c>
      <c r="AD288" s="3">
        <f>SUM(AD289+AD290+AD291+AD292+AD293)</f>
        <v>0</v>
      </c>
      <c r="AE288" s="3">
        <f>SUM(AE289+AE290+AE291+AE292+AE293)</f>
        <v>968.1</v>
      </c>
      <c r="AF288" s="12"/>
      <c r="AG288" s="58"/>
      <c r="AH288" s="14">
        <f>SUM(AH289+AH290+AH291+AH292+AH293)</f>
        <v>19924.000000000004</v>
      </c>
      <c r="AI288" s="26">
        <f aca="true" t="shared" si="89" ref="AI288:AS288">SUM(AI289+AI290+AI291+AI292+AI293)</f>
        <v>0</v>
      </c>
      <c r="AJ288" s="26">
        <f t="shared" si="89"/>
        <v>895.0999999999999</v>
      </c>
      <c r="AK288" s="26">
        <f t="shared" si="89"/>
        <v>17999.999999999996</v>
      </c>
      <c r="AL288" s="26">
        <f t="shared" si="89"/>
        <v>0</v>
      </c>
      <c r="AM288" s="26">
        <f t="shared" si="89"/>
        <v>940.2</v>
      </c>
      <c r="AN288" s="26">
        <f t="shared" si="89"/>
        <v>17999.999999999996</v>
      </c>
      <c r="AO288" s="26">
        <f t="shared" si="89"/>
        <v>0</v>
      </c>
      <c r="AP288" s="26">
        <f t="shared" si="89"/>
        <v>968.1</v>
      </c>
      <c r="AQ288" s="26">
        <f t="shared" si="89"/>
        <v>17999.999999999996</v>
      </c>
      <c r="AR288" s="26">
        <f t="shared" si="89"/>
        <v>0</v>
      </c>
      <c r="AS288" s="26">
        <f t="shared" si="89"/>
        <v>968.1</v>
      </c>
      <c r="AT288" s="26">
        <f>SUM(AT289+AT290+AT291+AT292+AT293)</f>
        <v>17999.999999999996</v>
      </c>
      <c r="AU288" s="26">
        <f>SUM(AU289+AU290+AU291+AU292+AU293)</f>
        <v>0</v>
      </c>
      <c r="AV288" s="26">
        <f>SUM(AV289+AV290+AV291+AV292+AV293)</f>
        <v>968.1</v>
      </c>
    </row>
    <row r="289" spans="1:48" ht="174.75" customHeight="1">
      <c r="A289" s="84" t="s">
        <v>39</v>
      </c>
      <c r="B289" s="91">
        <v>2640</v>
      </c>
      <c r="C289" s="10" t="s">
        <v>73</v>
      </c>
      <c r="D289" s="3">
        <v>313</v>
      </c>
      <c r="E289" s="84" t="s">
        <v>247</v>
      </c>
      <c r="F289" s="87" t="s">
        <v>256</v>
      </c>
      <c r="G289" s="84" t="s">
        <v>249</v>
      </c>
      <c r="H289" s="84" t="s">
        <v>257</v>
      </c>
      <c r="I289" s="84" t="s">
        <v>168</v>
      </c>
      <c r="J289" s="87" t="s">
        <v>258</v>
      </c>
      <c r="K289" s="84" t="s">
        <v>151</v>
      </c>
      <c r="L289" s="91" t="s">
        <v>120</v>
      </c>
      <c r="M289" s="90" t="s">
        <v>126</v>
      </c>
      <c r="N289" s="3">
        <v>18659.7</v>
      </c>
      <c r="O289" s="3"/>
      <c r="P289" s="3"/>
      <c r="Q289" s="14">
        <v>18539</v>
      </c>
      <c r="R289" s="3"/>
      <c r="S289" s="3"/>
      <c r="T289" s="3">
        <v>16658.8</v>
      </c>
      <c r="U289" s="3"/>
      <c r="V289" s="3"/>
      <c r="W289" s="3">
        <v>16658.8</v>
      </c>
      <c r="X289" s="3"/>
      <c r="Y289" s="3"/>
      <c r="Z289" s="3">
        <v>16658.8</v>
      </c>
      <c r="AA289" s="3"/>
      <c r="AB289" s="3"/>
      <c r="AC289" s="3">
        <v>16658.8</v>
      </c>
      <c r="AD289" s="3"/>
      <c r="AE289" s="3"/>
      <c r="AF289" s="81" t="s">
        <v>284</v>
      </c>
      <c r="AG289" s="81" t="s">
        <v>287</v>
      </c>
      <c r="AH289" s="26">
        <v>18659.7</v>
      </c>
      <c r="AI289" s="26"/>
      <c r="AJ289" s="26"/>
      <c r="AK289" s="26">
        <v>16658.8</v>
      </c>
      <c r="AL289" s="26"/>
      <c r="AM289" s="26"/>
      <c r="AN289" s="26">
        <v>16658.8</v>
      </c>
      <c r="AO289" s="26"/>
      <c r="AP289" s="26"/>
      <c r="AQ289" s="26">
        <v>16658.8</v>
      </c>
      <c r="AR289" s="26"/>
      <c r="AS289" s="26"/>
      <c r="AT289" s="26">
        <v>16658.8</v>
      </c>
      <c r="AU289" s="26"/>
      <c r="AV289" s="26"/>
    </row>
    <row r="290" spans="1:48" ht="54.75" customHeight="1">
      <c r="A290" s="84"/>
      <c r="B290" s="91"/>
      <c r="C290" s="10" t="s">
        <v>73</v>
      </c>
      <c r="D290" s="3">
        <v>244</v>
      </c>
      <c r="E290" s="84"/>
      <c r="F290" s="87"/>
      <c r="G290" s="84"/>
      <c r="H290" s="84"/>
      <c r="I290" s="84"/>
      <c r="J290" s="87"/>
      <c r="K290" s="84"/>
      <c r="L290" s="91"/>
      <c r="M290" s="90"/>
      <c r="N290" s="14">
        <v>200</v>
      </c>
      <c r="O290" s="3"/>
      <c r="P290" s="3"/>
      <c r="Q290" s="3">
        <v>183.8</v>
      </c>
      <c r="R290" s="3"/>
      <c r="S290" s="3"/>
      <c r="T290" s="3">
        <v>195</v>
      </c>
      <c r="U290" s="3"/>
      <c r="V290" s="3"/>
      <c r="W290" s="3">
        <v>195</v>
      </c>
      <c r="X290" s="3"/>
      <c r="Y290" s="3"/>
      <c r="Z290" s="3">
        <v>195</v>
      </c>
      <c r="AA290" s="3"/>
      <c r="AB290" s="3"/>
      <c r="AC290" s="3">
        <v>195</v>
      </c>
      <c r="AD290" s="3"/>
      <c r="AE290" s="3"/>
      <c r="AF290" s="82"/>
      <c r="AG290" s="82"/>
      <c r="AH290" s="14">
        <v>200</v>
      </c>
      <c r="AI290" s="26"/>
      <c r="AJ290" s="26"/>
      <c r="AK290" s="26">
        <v>195</v>
      </c>
      <c r="AL290" s="26"/>
      <c r="AM290" s="26"/>
      <c r="AN290" s="26">
        <v>195</v>
      </c>
      <c r="AO290" s="26"/>
      <c r="AP290" s="26"/>
      <c r="AQ290" s="26">
        <v>195</v>
      </c>
      <c r="AR290" s="26"/>
      <c r="AS290" s="26"/>
      <c r="AT290" s="26">
        <v>195</v>
      </c>
      <c r="AU290" s="26"/>
      <c r="AV290" s="26"/>
    </row>
    <row r="291" spans="1:48" ht="21" customHeight="1">
      <c r="A291" s="84"/>
      <c r="B291" s="91"/>
      <c r="C291" s="10" t="s">
        <v>74</v>
      </c>
      <c r="D291" s="3">
        <v>111</v>
      </c>
      <c r="E291" s="84"/>
      <c r="F291" s="87"/>
      <c r="G291" s="84"/>
      <c r="H291" s="84"/>
      <c r="I291" s="84"/>
      <c r="J291" s="87"/>
      <c r="K291" s="84"/>
      <c r="L291" s="91"/>
      <c r="M291" s="90"/>
      <c r="N291" s="3">
        <v>675.9</v>
      </c>
      <c r="O291" s="3"/>
      <c r="P291" s="3">
        <v>675.9</v>
      </c>
      <c r="Q291" s="3">
        <v>675.9</v>
      </c>
      <c r="R291" s="3"/>
      <c r="S291" s="3">
        <v>675.9</v>
      </c>
      <c r="T291" s="3">
        <v>722.1</v>
      </c>
      <c r="U291" s="3"/>
      <c r="V291" s="3">
        <v>722.1</v>
      </c>
      <c r="W291" s="3">
        <v>743.6</v>
      </c>
      <c r="X291" s="3"/>
      <c r="Y291" s="3">
        <v>743.6</v>
      </c>
      <c r="Z291" s="3">
        <v>743.6</v>
      </c>
      <c r="AA291" s="3"/>
      <c r="AB291" s="3">
        <v>743.6</v>
      </c>
      <c r="AC291" s="3">
        <v>743.6</v>
      </c>
      <c r="AD291" s="3"/>
      <c r="AE291" s="3">
        <v>743.6</v>
      </c>
      <c r="AF291" s="82"/>
      <c r="AG291" s="82"/>
      <c r="AH291" s="26">
        <v>675.9</v>
      </c>
      <c r="AI291" s="26"/>
      <c r="AJ291" s="26">
        <v>675.9</v>
      </c>
      <c r="AK291" s="26">
        <v>722.1</v>
      </c>
      <c r="AL291" s="26"/>
      <c r="AM291" s="26">
        <v>722.1</v>
      </c>
      <c r="AN291" s="26">
        <v>743.6</v>
      </c>
      <c r="AO291" s="26"/>
      <c r="AP291" s="26">
        <v>743.6</v>
      </c>
      <c r="AQ291" s="26">
        <v>743.6</v>
      </c>
      <c r="AR291" s="26"/>
      <c r="AS291" s="26">
        <v>743.6</v>
      </c>
      <c r="AT291" s="26">
        <v>743.6</v>
      </c>
      <c r="AU291" s="26"/>
      <c r="AV291" s="26">
        <v>743.6</v>
      </c>
    </row>
    <row r="292" spans="1:48" ht="23.25" customHeight="1">
      <c r="A292" s="84"/>
      <c r="B292" s="91"/>
      <c r="C292" s="10" t="s">
        <v>74</v>
      </c>
      <c r="D292" s="3">
        <v>119</v>
      </c>
      <c r="E292" s="84"/>
      <c r="F292" s="87"/>
      <c r="G292" s="84"/>
      <c r="H292" s="84"/>
      <c r="I292" s="84"/>
      <c r="J292" s="87"/>
      <c r="K292" s="84"/>
      <c r="L292" s="91"/>
      <c r="M292" s="90"/>
      <c r="N292" s="3">
        <v>219.2</v>
      </c>
      <c r="O292" s="3"/>
      <c r="P292" s="3">
        <v>219.2</v>
      </c>
      <c r="Q292" s="3">
        <v>219.2</v>
      </c>
      <c r="R292" s="3"/>
      <c r="S292" s="3">
        <v>219.2</v>
      </c>
      <c r="T292" s="3">
        <v>218.1</v>
      </c>
      <c r="U292" s="3"/>
      <c r="V292" s="3">
        <v>218.1</v>
      </c>
      <c r="W292" s="3">
        <v>224.5</v>
      </c>
      <c r="X292" s="3"/>
      <c r="Y292" s="3">
        <v>224.5</v>
      </c>
      <c r="Z292" s="3">
        <v>224.5</v>
      </c>
      <c r="AA292" s="3"/>
      <c r="AB292" s="3">
        <v>224.5</v>
      </c>
      <c r="AC292" s="3">
        <v>224.5</v>
      </c>
      <c r="AD292" s="3"/>
      <c r="AE292" s="3">
        <v>224.5</v>
      </c>
      <c r="AF292" s="82"/>
      <c r="AG292" s="82"/>
      <c r="AH292" s="26">
        <v>219.2</v>
      </c>
      <c r="AI292" s="26"/>
      <c r="AJ292" s="26">
        <v>219.2</v>
      </c>
      <c r="AK292" s="26">
        <v>218.1</v>
      </c>
      <c r="AL292" s="26"/>
      <c r="AM292" s="26">
        <v>218.1</v>
      </c>
      <c r="AN292" s="26">
        <v>224.5</v>
      </c>
      <c r="AO292" s="26"/>
      <c r="AP292" s="26">
        <v>224.5</v>
      </c>
      <c r="AQ292" s="26">
        <v>224.5</v>
      </c>
      <c r="AR292" s="26"/>
      <c r="AS292" s="26">
        <v>224.5</v>
      </c>
      <c r="AT292" s="26">
        <v>224.5</v>
      </c>
      <c r="AU292" s="26"/>
      <c r="AV292" s="26">
        <v>224.5</v>
      </c>
    </row>
    <row r="293" spans="1:48" ht="18.75" customHeight="1">
      <c r="A293" s="84"/>
      <c r="B293" s="91"/>
      <c r="C293" s="10" t="s">
        <v>74</v>
      </c>
      <c r="D293" s="3">
        <v>244</v>
      </c>
      <c r="E293" s="84"/>
      <c r="F293" s="87"/>
      <c r="G293" s="84"/>
      <c r="H293" s="84"/>
      <c r="I293" s="84"/>
      <c r="J293" s="87"/>
      <c r="K293" s="84"/>
      <c r="L293" s="91"/>
      <c r="M293" s="90"/>
      <c r="N293" s="3">
        <v>169.2</v>
      </c>
      <c r="O293" s="3"/>
      <c r="P293" s="3"/>
      <c r="Q293" s="3">
        <v>154.9</v>
      </c>
      <c r="R293" s="3"/>
      <c r="S293" s="3"/>
      <c r="T293" s="3">
        <v>206</v>
      </c>
      <c r="U293" s="3"/>
      <c r="V293" s="3"/>
      <c r="W293" s="3">
        <v>178.1</v>
      </c>
      <c r="X293" s="3"/>
      <c r="Y293" s="3"/>
      <c r="Z293" s="3">
        <v>178.1</v>
      </c>
      <c r="AA293" s="3"/>
      <c r="AB293" s="3"/>
      <c r="AC293" s="3">
        <v>178.1</v>
      </c>
      <c r="AD293" s="3"/>
      <c r="AE293" s="3"/>
      <c r="AF293" s="83"/>
      <c r="AG293" s="83"/>
      <c r="AH293" s="26">
        <v>169.2</v>
      </c>
      <c r="AI293" s="26"/>
      <c r="AJ293" s="26"/>
      <c r="AK293" s="26">
        <v>206</v>
      </c>
      <c r="AL293" s="26"/>
      <c r="AM293" s="26"/>
      <c r="AN293" s="26">
        <v>178.1</v>
      </c>
      <c r="AO293" s="26"/>
      <c r="AP293" s="26"/>
      <c r="AQ293" s="26">
        <v>178.1</v>
      </c>
      <c r="AR293" s="26"/>
      <c r="AS293" s="26"/>
      <c r="AT293" s="26">
        <v>178.1</v>
      </c>
      <c r="AU293" s="26"/>
      <c r="AV293" s="26"/>
    </row>
    <row r="294" spans="1:48" s="2" customFormat="1" ht="18.75" customHeight="1">
      <c r="A294" s="18"/>
      <c r="B294" s="4"/>
      <c r="C294" s="10"/>
      <c r="D294" s="3"/>
      <c r="E294" s="54"/>
      <c r="F294" s="53"/>
      <c r="G294" s="54"/>
      <c r="H294" s="54"/>
      <c r="I294" s="54"/>
      <c r="J294" s="53"/>
      <c r="K294" s="54"/>
      <c r="L294" s="54"/>
      <c r="M294" s="53"/>
      <c r="N294" s="3">
        <f>SUM(N295)</f>
        <v>102.4</v>
      </c>
      <c r="O294" s="3">
        <f aca="true" t="shared" si="90" ref="O294:AE294">SUM(O295)</f>
        <v>40</v>
      </c>
      <c r="P294" s="3">
        <f t="shared" si="90"/>
        <v>0</v>
      </c>
      <c r="Q294" s="3">
        <f t="shared" si="90"/>
        <v>102.4</v>
      </c>
      <c r="R294" s="3">
        <f t="shared" si="90"/>
        <v>40</v>
      </c>
      <c r="S294" s="3">
        <f t="shared" si="90"/>
        <v>0</v>
      </c>
      <c r="T294" s="3">
        <f t="shared" si="90"/>
        <v>106.5</v>
      </c>
      <c r="U294" s="3">
        <f t="shared" si="90"/>
        <v>0</v>
      </c>
      <c r="V294" s="3">
        <f t="shared" si="90"/>
        <v>0</v>
      </c>
      <c r="W294" s="3">
        <f t="shared" si="90"/>
        <v>106.5</v>
      </c>
      <c r="X294" s="3">
        <f t="shared" si="90"/>
        <v>0</v>
      </c>
      <c r="Y294" s="3">
        <f t="shared" si="90"/>
        <v>0</v>
      </c>
      <c r="Z294" s="3">
        <f t="shared" si="90"/>
        <v>106.5</v>
      </c>
      <c r="AA294" s="3">
        <f t="shared" si="90"/>
        <v>0</v>
      </c>
      <c r="AB294" s="3">
        <f t="shared" si="90"/>
        <v>0</v>
      </c>
      <c r="AC294" s="3">
        <f t="shared" si="90"/>
        <v>106.5</v>
      </c>
      <c r="AD294" s="3">
        <f t="shared" si="90"/>
        <v>0</v>
      </c>
      <c r="AE294" s="3">
        <f t="shared" si="90"/>
        <v>0</v>
      </c>
      <c r="AF294" s="12"/>
      <c r="AG294" s="58"/>
      <c r="AH294" s="26">
        <f>SUM(AH295)</f>
        <v>102.4</v>
      </c>
      <c r="AI294" s="26">
        <f aca="true" t="shared" si="91" ref="AI294:AV294">SUM(AI295)</f>
        <v>40</v>
      </c>
      <c r="AJ294" s="26">
        <f t="shared" si="91"/>
        <v>0</v>
      </c>
      <c r="AK294" s="26">
        <f t="shared" si="91"/>
        <v>106.5</v>
      </c>
      <c r="AL294" s="26">
        <f t="shared" si="91"/>
        <v>0</v>
      </c>
      <c r="AM294" s="26">
        <f t="shared" si="91"/>
        <v>0</v>
      </c>
      <c r="AN294" s="26">
        <f t="shared" si="91"/>
        <v>106.5</v>
      </c>
      <c r="AO294" s="26">
        <f t="shared" si="91"/>
        <v>0</v>
      </c>
      <c r="AP294" s="26">
        <f t="shared" si="91"/>
        <v>0</v>
      </c>
      <c r="AQ294" s="26">
        <f t="shared" si="91"/>
        <v>106.5</v>
      </c>
      <c r="AR294" s="26">
        <f t="shared" si="91"/>
        <v>0</v>
      </c>
      <c r="AS294" s="26">
        <f t="shared" si="91"/>
        <v>0</v>
      </c>
      <c r="AT294" s="26">
        <f t="shared" si="91"/>
        <v>106.5</v>
      </c>
      <c r="AU294" s="26">
        <f t="shared" si="91"/>
        <v>0</v>
      </c>
      <c r="AV294" s="26">
        <f t="shared" si="91"/>
        <v>0</v>
      </c>
    </row>
    <row r="295" spans="1:48" ht="145.5" customHeight="1">
      <c r="A295" s="112" t="s">
        <v>37</v>
      </c>
      <c r="B295" s="91">
        <v>2641</v>
      </c>
      <c r="C295" s="98" t="s">
        <v>35</v>
      </c>
      <c r="D295" s="84">
        <v>244</v>
      </c>
      <c r="E295" s="84" t="s">
        <v>247</v>
      </c>
      <c r="F295" s="87" t="s">
        <v>259</v>
      </c>
      <c r="G295" s="84" t="s">
        <v>249</v>
      </c>
      <c r="H295" s="84" t="s">
        <v>260</v>
      </c>
      <c r="I295" s="91" t="s">
        <v>168</v>
      </c>
      <c r="J295" s="90" t="s">
        <v>261</v>
      </c>
      <c r="K295" s="91" t="s">
        <v>137</v>
      </c>
      <c r="L295" s="91" t="s">
        <v>120</v>
      </c>
      <c r="M295" s="91" t="s">
        <v>126</v>
      </c>
      <c r="N295" s="84">
        <v>102.4</v>
      </c>
      <c r="O295" s="84">
        <v>40</v>
      </c>
      <c r="P295" s="81"/>
      <c r="Q295" s="91">
        <v>102.4</v>
      </c>
      <c r="R295" s="81">
        <v>40</v>
      </c>
      <c r="S295" s="81"/>
      <c r="T295" s="84">
        <f>0.1+106.4</f>
        <v>106.5</v>
      </c>
      <c r="U295" s="81"/>
      <c r="V295" s="84"/>
      <c r="W295" s="84">
        <f>0.1+106.4</f>
        <v>106.5</v>
      </c>
      <c r="X295" s="81"/>
      <c r="Y295" s="84"/>
      <c r="Z295" s="84">
        <f>0.1+106.4</f>
        <v>106.5</v>
      </c>
      <c r="AA295" s="81"/>
      <c r="AB295" s="81"/>
      <c r="AC295" s="84">
        <f>0.1+106.4</f>
        <v>106.5</v>
      </c>
      <c r="AD295" s="81"/>
      <c r="AE295" s="81"/>
      <c r="AF295" s="81" t="s">
        <v>284</v>
      </c>
      <c r="AG295" s="81" t="s">
        <v>287</v>
      </c>
      <c r="AH295" s="84">
        <v>102.4</v>
      </c>
      <c r="AI295" s="84">
        <v>40</v>
      </c>
      <c r="AJ295" s="81"/>
      <c r="AK295" s="84">
        <f>0.1+106.4</f>
        <v>106.5</v>
      </c>
      <c r="AL295" s="81"/>
      <c r="AM295" s="84"/>
      <c r="AN295" s="84">
        <f>0.1+106.4</f>
        <v>106.5</v>
      </c>
      <c r="AO295" s="81"/>
      <c r="AP295" s="84"/>
      <c r="AQ295" s="84">
        <f>0.1+106.4</f>
        <v>106.5</v>
      </c>
      <c r="AR295" s="81"/>
      <c r="AS295" s="81"/>
      <c r="AT295" s="84">
        <f>0.1+106.4</f>
        <v>106.5</v>
      </c>
      <c r="AU295" s="81"/>
      <c r="AV295" s="81"/>
    </row>
    <row r="296" spans="1:48" ht="18" customHeight="1">
      <c r="A296" s="112"/>
      <c r="B296" s="91"/>
      <c r="C296" s="98"/>
      <c r="D296" s="84"/>
      <c r="E296" s="84"/>
      <c r="F296" s="87"/>
      <c r="G296" s="84"/>
      <c r="H296" s="84"/>
      <c r="I296" s="91"/>
      <c r="J296" s="90"/>
      <c r="K296" s="91"/>
      <c r="L296" s="91"/>
      <c r="M296" s="91"/>
      <c r="N296" s="84"/>
      <c r="O296" s="84"/>
      <c r="P296" s="83"/>
      <c r="Q296" s="91"/>
      <c r="R296" s="83"/>
      <c r="S296" s="83"/>
      <c r="T296" s="84"/>
      <c r="U296" s="83"/>
      <c r="V296" s="84"/>
      <c r="W296" s="84"/>
      <c r="X296" s="83"/>
      <c r="Y296" s="84"/>
      <c r="Z296" s="84"/>
      <c r="AA296" s="83"/>
      <c r="AB296" s="83"/>
      <c r="AC296" s="84"/>
      <c r="AD296" s="83"/>
      <c r="AE296" s="83"/>
      <c r="AF296" s="83"/>
      <c r="AG296" s="83"/>
      <c r="AH296" s="84"/>
      <c r="AI296" s="84"/>
      <c r="AJ296" s="83"/>
      <c r="AK296" s="84"/>
      <c r="AL296" s="83"/>
      <c r="AM296" s="84"/>
      <c r="AN296" s="84"/>
      <c r="AO296" s="83"/>
      <c r="AP296" s="84"/>
      <c r="AQ296" s="84"/>
      <c r="AR296" s="83"/>
      <c r="AS296" s="83"/>
      <c r="AT296" s="84"/>
      <c r="AU296" s="83"/>
      <c r="AV296" s="83"/>
    </row>
    <row r="297" spans="1:48" s="2" customFormat="1" ht="18.75" customHeight="1">
      <c r="A297" s="44"/>
      <c r="B297" s="4"/>
      <c r="C297" s="19"/>
      <c r="D297" s="18"/>
      <c r="E297" s="54"/>
      <c r="F297" s="53"/>
      <c r="G297" s="54"/>
      <c r="H297" s="54"/>
      <c r="I297" s="54"/>
      <c r="J297" s="53"/>
      <c r="K297" s="54"/>
      <c r="L297" s="54"/>
      <c r="M297" s="54"/>
      <c r="N297" s="18">
        <f>SUM(N298)</f>
        <v>963.5</v>
      </c>
      <c r="O297" s="18">
        <f aca="true" t="shared" si="92" ref="O297:AE297">SUM(O298)</f>
        <v>35.8</v>
      </c>
      <c r="P297" s="18">
        <f t="shared" si="92"/>
        <v>0</v>
      </c>
      <c r="Q297" s="18">
        <f t="shared" si="92"/>
        <v>948.8</v>
      </c>
      <c r="R297" s="18">
        <f t="shared" si="92"/>
        <v>35.8</v>
      </c>
      <c r="S297" s="18">
        <f t="shared" si="92"/>
        <v>0</v>
      </c>
      <c r="T297" s="18">
        <f t="shared" si="92"/>
        <v>954.3</v>
      </c>
      <c r="U297" s="18">
        <f t="shared" si="92"/>
        <v>0</v>
      </c>
      <c r="V297" s="18">
        <f t="shared" si="92"/>
        <v>0</v>
      </c>
      <c r="W297" s="18">
        <f t="shared" si="92"/>
        <v>945</v>
      </c>
      <c r="X297" s="18">
        <f t="shared" si="92"/>
        <v>0</v>
      </c>
      <c r="Y297" s="18">
        <f t="shared" si="92"/>
        <v>0</v>
      </c>
      <c r="Z297" s="18">
        <f t="shared" si="92"/>
        <v>935.7</v>
      </c>
      <c r="AA297" s="18">
        <f t="shared" si="92"/>
        <v>0</v>
      </c>
      <c r="AB297" s="18">
        <f t="shared" si="92"/>
        <v>0</v>
      </c>
      <c r="AC297" s="18">
        <f t="shared" si="92"/>
        <v>935.7</v>
      </c>
      <c r="AD297" s="18">
        <f t="shared" si="92"/>
        <v>0</v>
      </c>
      <c r="AE297" s="18">
        <f t="shared" si="92"/>
        <v>0</v>
      </c>
      <c r="AF297" s="12"/>
      <c r="AG297" s="58"/>
      <c r="AH297" s="24">
        <f>SUM(AH298)</f>
        <v>963.5</v>
      </c>
      <c r="AI297" s="24">
        <f aca="true" t="shared" si="93" ref="AI297:AV297">SUM(AI298)</f>
        <v>35.8</v>
      </c>
      <c r="AJ297" s="24">
        <f t="shared" si="93"/>
        <v>0</v>
      </c>
      <c r="AK297" s="24">
        <f t="shared" si="93"/>
        <v>954.3</v>
      </c>
      <c r="AL297" s="24">
        <f t="shared" si="93"/>
        <v>0</v>
      </c>
      <c r="AM297" s="24">
        <f t="shared" si="93"/>
        <v>0</v>
      </c>
      <c r="AN297" s="24">
        <f t="shared" si="93"/>
        <v>945</v>
      </c>
      <c r="AO297" s="24">
        <f t="shared" si="93"/>
        <v>0</v>
      </c>
      <c r="AP297" s="24">
        <f t="shared" si="93"/>
        <v>0</v>
      </c>
      <c r="AQ297" s="24">
        <f t="shared" si="93"/>
        <v>935.7</v>
      </c>
      <c r="AR297" s="24">
        <f t="shared" si="93"/>
        <v>0</v>
      </c>
      <c r="AS297" s="24">
        <f t="shared" si="93"/>
        <v>0</v>
      </c>
      <c r="AT297" s="24">
        <f t="shared" si="93"/>
        <v>935.7</v>
      </c>
      <c r="AU297" s="24">
        <f t="shared" si="93"/>
        <v>0</v>
      </c>
      <c r="AV297" s="24">
        <f t="shared" si="93"/>
        <v>0</v>
      </c>
    </row>
    <row r="298" spans="1:48" ht="102.75" customHeight="1">
      <c r="A298" s="84" t="s">
        <v>50</v>
      </c>
      <c r="B298" s="91">
        <v>2660</v>
      </c>
      <c r="C298" s="98" t="s">
        <v>49</v>
      </c>
      <c r="D298" s="84">
        <v>244</v>
      </c>
      <c r="E298" s="84" t="s">
        <v>165</v>
      </c>
      <c r="F298" s="53" t="s">
        <v>262</v>
      </c>
      <c r="G298" s="54" t="s">
        <v>159</v>
      </c>
      <c r="H298" s="54" t="s">
        <v>263</v>
      </c>
      <c r="I298" s="54" t="s">
        <v>168</v>
      </c>
      <c r="J298" s="53" t="s">
        <v>264</v>
      </c>
      <c r="K298" s="54" t="s">
        <v>152</v>
      </c>
      <c r="L298" s="54" t="s">
        <v>120</v>
      </c>
      <c r="M298" s="53" t="s">
        <v>126</v>
      </c>
      <c r="N298" s="84">
        <v>963.5</v>
      </c>
      <c r="O298" s="84">
        <v>35.8</v>
      </c>
      <c r="P298" s="18"/>
      <c r="Q298" s="18">
        <v>948.8</v>
      </c>
      <c r="R298" s="18">
        <v>35.8</v>
      </c>
      <c r="S298" s="18"/>
      <c r="T298" s="84">
        <v>954.3</v>
      </c>
      <c r="U298" s="18"/>
      <c r="V298" s="84"/>
      <c r="W298" s="84">
        <v>945</v>
      </c>
      <c r="X298" s="18"/>
      <c r="Y298" s="84"/>
      <c r="Z298" s="84">
        <v>935.7</v>
      </c>
      <c r="AA298" s="18"/>
      <c r="AB298" s="18"/>
      <c r="AC298" s="84">
        <v>935.7</v>
      </c>
      <c r="AD298" s="18"/>
      <c r="AE298" s="18"/>
      <c r="AF298" s="46" t="s">
        <v>284</v>
      </c>
      <c r="AG298" s="58" t="s">
        <v>287</v>
      </c>
      <c r="AH298" s="84">
        <v>963.5</v>
      </c>
      <c r="AI298" s="84">
        <v>35.8</v>
      </c>
      <c r="AJ298" s="24"/>
      <c r="AK298" s="84">
        <v>954.3</v>
      </c>
      <c r="AL298" s="24"/>
      <c r="AM298" s="84"/>
      <c r="AN298" s="84">
        <v>945</v>
      </c>
      <c r="AO298" s="24"/>
      <c r="AP298" s="84"/>
      <c r="AQ298" s="84">
        <v>935.7</v>
      </c>
      <c r="AR298" s="24"/>
      <c r="AS298" s="24"/>
      <c r="AT298" s="84">
        <v>935.7</v>
      </c>
      <c r="AU298" s="24"/>
      <c r="AV298" s="24"/>
    </row>
    <row r="299" spans="1:48" ht="173.25" customHeight="1" hidden="1" thickBot="1">
      <c r="A299" s="84"/>
      <c r="B299" s="91"/>
      <c r="C299" s="98"/>
      <c r="D299" s="84"/>
      <c r="E299" s="84"/>
      <c r="F299" s="54"/>
      <c r="G299" s="54"/>
      <c r="H299" s="54"/>
      <c r="I299" s="54"/>
      <c r="J299" s="54"/>
      <c r="K299" s="54"/>
      <c r="L299" s="54"/>
      <c r="M299" s="53"/>
      <c r="N299" s="84"/>
      <c r="O299" s="84"/>
      <c r="P299" s="18"/>
      <c r="Q299" s="18"/>
      <c r="R299" s="18"/>
      <c r="S299" s="18"/>
      <c r="T299" s="84"/>
      <c r="U299" s="18"/>
      <c r="V299" s="84"/>
      <c r="W299" s="84"/>
      <c r="X299" s="18"/>
      <c r="Y299" s="84"/>
      <c r="Z299" s="84"/>
      <c r="AA299" s="18"/>
      <c r="AB299" s="18"/>
      <c r="AC299" s="84"/>
      <c r="AD299" s="18"/>
      <c r="AE299" s="18"/>
      <c r="AF299" s="12"/>
      <c r="AG299" s="58"/>
      <c r="AH299" s="84"/>
      <c r="AI299" s="84"/>
      <c r="AJ299" s="24"/>
      <c r="AK299" s="84"/>
      <c r="AL299" s="24"/>
      <c r="AM299" s="84"/>
      <c r="AN299" s="84"/>
      <c r="AO299" s="24"/>
      <c r="AP299" s="84"/>
      <c r="AQ299" s="84"/>
      <c r="AR299" s="24"/>
      <c r="AS299" s="24"/>
      <c r="AT299" s="84"/>
      <c r="AU299" s="24"/>
      <c r="AV299" s="24"/>
    </row>
    <row r="300" spans="1:49" s="8" customFormat="1" ht="17.25" customHeight="1">
      <c r="A300" s="18"/>
      <c r="B300" s="4"/>
      <c r="C300" s="19"/>
      <c r="D300" s="18"/>
      <c r="E300" s="54"/>
      <c r="F300" s="54"/>
      <c r="G300" s="54"/>
      <c r="H300" s="54"/>
      <c r="I300" s="54"/>
      <c r="J300" s="54"/>
      <c r="K300" s="54"/>
      <c r="L300" s="54"/>
      <c r="M300" s="53"/>
      <c r="N300" s="13">
        <f>SUM(N301+N302)</f>
        <v>43462</v>
      </c>
      <c r="O300" s="18">
        <f aca="true" t="shared" si="94" ref="O300:AB300">SUM(O301+O302)</f>
        <v>0</v>
      </c>
      <c r="P300" s="18">
        <f t="shared" si="94"/>
        <v>0</v>
      </c>
      <c r="Q300" s="18">
        <f t="shared" si="94"/>
        <v>31935.100000000002</v>
      </c>
      <c r="R300" s="18">
        <f t="shared" si="94"/>
        <v>0</v>
      </c>
      <c r="S300" s="18">
        <f t="shared" si="94"/>
        <v>0</v>
      </c>
      <c r="T300" s="18">
        <f t="shared" si="94"/>
        <v>37563</v>
      </c>
      <c r="U300" s="18">
        <f t="shared" si="94"/>
        <v>0</v>
      </c>
      <c r="V300" s="18">
        <f t="shared" si="94"/>
        <v>0</v>
      </c>
      <c r="W300" s="18">
        <f t="shared" si="94"/>
        <v>38322</v>
      </c>
      <c r="X300" s="18">
        <f t="shared" si="94"/>
        <v>0</v>
      </c>
      <c r="Y300" s="18">
        <f t="shared" si="94"/>
        <v>0</v>
      </c>
      <c r="Z300" s="18">
        <f t="shared" si="94"/>
        <v>38320</v>
      </c>
      <c r="AA300" s="18">
        <f t="shared" si="94"/>
        <v>0</v>
      </c>
      <c r="AB300" s="18">
        <f t="shared" si="94"/>
        <v>0</v>
      </c>
      <c r="AC300" s="18">
        <f>SUM(AC301+AC302)</f>
        <v>38320</v>
      </c>
      <c r="AD300" s="18">
        <f>SUM(AD301+AD302)</f>
        <v>0</v>
      </c>
      <c r="AE300" s="18">
        <f>SUM(AE301+AE302)</f>
        <v>0</v>
      </c>
      <c r="AF300" s="12"/>
      <c r="AG300" s="58"/>
      <c r="AH300" s="35">
        <f>SUM(AH301+AH302)</f>
        <v>43462</v>
      </c>
      <c r="AI300" s="24">
        <f aca="true" t="shared" si="95" ref="AI300:AS300">SUM(AI301+AI302)</f>
        <v>0</v>
      </c>
      <c r="AJ300" s="24">
        <f t="shared" si="95"/>
        <v>0</v>
      </c>
      <c r="AK300" s="24">
        <f t="shared" si="95"/>
        <v>37563</v>
      </c>
      <c r="AL300" s="24">
        <f t="shared" si="95"/>
        <v>0</v>
      </c>
      <c r="AM300" s="24">
        <f t="shared" si="95"/>
        <v>0</v>
      </c>
      <c r="AN300" s="24">
        <f t="shared" si="95"/>
        <v>38322</v>
      </c>
      <c r="AO300" s="24">
        <f t="shared" si="95"/>
        <v>0</v>
      </c>
      <c r="AP300" s="24">
        <f t="shared" si="95"/>
        <v>0</v>
      </c>
      <c r="AQ300" s="24">
        <f t="shared" si="95"/>
        <v>38320</v>
      </c>
      <c r="AR300" s="24">
        <f t="shared" si="95"/>
        <v>0</v>
      </c>
      <c r="AS300" s="24">
        <f t="shared" si="95"/>
        <v>0</v>
      </c>
      <c r="AT300" s="24">
        <f>SUM(AT301+AT302)</f>
        <v>38320</v>
      </c>
      <c r="AU300" s="24">
        <f>SUM(AU301+AU302)</f>
        <v>0</v>
      </c>
      <c r="AV300" s="24">
        <f>SUM(AV301+AV302)</f>
        <v>0</v>
      </c>
      <c r="AW300" s="22"/>
    </row>
    <row r="301" spans="1:48" s="2" customFormat="1" ht="21" customHeight="1">
      <c r="A301" s="113" t="s">
        <v>88</v>
      </c>
      <c r="B301" s="91">
        <v>2697</v>
      </c>
      <c r="C301" s="10" t="s">
        <v>73</v>
      </c>
      <c r="D301" s="3">
        <v>244</v>
      </c>
      <c r="E301" s="84" t="s">
        <v>265</v>
      </c>
      <c r="F301" s="87" t="s">
        <v>120</v>
      </c>
      <c r="G301" s="84" t="s">
        <v>258</v>
      </c>
      <c r="H301" s="105" t="s">
        <v>266</v>
      </c>
      <c r="I301" s="84" t="s">
        <v>168</v>
      </c>
      <c r="J301" s="87" t="s">
        <v>267</v>
      </c>
      <c r="K301" s="84" t="s">
        <v>151</v>
      </c>
      <c r="L301" s="91" t="s">
        <v>120</v>
      </c>
      <c r="M301" s="90" t="s">
        <v>126</v>
      </c>
      <c r="N301" s="3">
        <v>660</v>
      </c>
      <c r="O301" s="3"/>
      <c r="P301" s="3"/>
      <c r="Q301" s="3">
        <v>356.4</v>
      </c>
      <c r="R301" s="3"/>
      <c r="S301" s="3"/>
      <c r="T301" s="3">
        <v>440</v>
      </c>
      <c r="U301" s="3"/>
      <c r="V301" s="3"/>
      <c r="W301" s="3">
        <v>448</v>
      </c>
      <c r="X301" s="3"/>
      <c r="Y301" s="3"/>
      <c r="Z301" s="3">
        <v>446</v>
      </c>
      <c r="AA301" s="3"/>
      <c r="AB301" s="3"/>
      <c r="AC301" s="3">
        <v>446</v>
      </c>
      <c r="AD301" s="3"/>
      <c r="AE301" s="3"/>
      <c r="AF301" s="81" t="s">
        <v>284</v>
      </c>
      <c r="AG301" s="81" t="s">
        <v>287</v>
      </c>
      <c r="AH301" s="26">
        <v>660</v>
      </c>
      <c r="AI301" s="26"/>
      <c r="AJ301" s="26"/>
      <c r="AK301" s="26">
        <v>440</v>
      </c>
      <c r="AL301" s="26"/>
      <c r="AM301" s="26"/>
      <c r="AN301" s="26">
        <v>448</v>
      </c>
      <c r="AO301" s="26"/>
      <c r="AP301" s="26"/>
      <c r="AQ301" s="26">
        <v>446</v>
      </c>
      <c r="AR301" s="26"/>
      <c r="AS301" s="26"/>
      <c r="AT301" s="26">
        <v>446</v>
      </c>
      <c r="AU301" s="26"/>
      <c r="AV301" s="26"/>
    </row>
    <row r="302" spans="1:48" s="2" customFormat="1" ht="25.5" customHeight="1">
      <c r="A302" s="113"/>
      <c r="B302" s="91"/>
      <c r="C302" s="10" t="s">
        <v>73</v>
      </c>
      <c r="D302" s="3">
        <v>313</v>
      </c>
      <c r="E302" s="84"/>
      <c r="F302" s="87"/>
      <c r="G302" s="84"/>
      <c r="H302" s="105"/>
      <c r="I302" s="84"/>
      <c r="J302" s="87"/>
      <c r="K302" s="84"/>
      <c r="L302" s="91"/>
      <c r="M302" s="90"/>
      <c r="N302" s="14">
        <v>42802</v>
      </c>
      <c r="O302" s="3"/>
      <c r="P302" s="3"/>
      <c r="Q302" s="3">
        <v>31578.7</v>
      </c>
      <c r="R302" s="3"/>
      <c r="S302" s="3"/>
      <c r="T302" s="3">
        <v>37123</v>
      </c>
      <c r="U302" s="3"/>
      <c r="V302" s="3"/>
      <c r="W302" s="3">
        <v>37874</v>
      </c>
      <c r="X302" s="3"/>
      <c r="Y302" s="3"/>
      <c r="Z302" s="3">
        <v>37874</v>
      </c>
      <c r="AA302" s="3"/>
      <c r="AB302" s="3"/>
      <c r="AC302" s="3">
        <v>37874</v>
      </c>
      <c r="AD302" s="3"/>
      <c r="AE302" s="3"/>
      <c r="AF302" s="83"/>
      <c r="AG302" s="83"/>
      <c r="AH302" s="14">
        <v>42802</v>
      </c>
      <c r="AI302" s="26"/>
      <c r="AJ302" s="26"/>
      <c r="AK302" s="26">
        <v>37123</v>
      </c>
      <c r="AL302" s="26"/>
      <c r="AM302" s="26"/>
      <c r="AN302" s="26">
        <v>37874</v>
      </c>
      <c r="AO302" s="26"/>
      <c r="AP302" s="26"/>
      <c r="AQ302" s="26">
        <v>37874</v>
      </c>
      <c r="AR302" s="26"/>
      <c r="AS302" s="26"/>
      <c r="AT302" s="26">
        <v>37874</v>
      </c>
      <c r="AU302" s="26"/>
      <c r="AV302" s="26"/>
    </row>
    <row r="303" spans="1:48" s="2" customFormat="1" ht="18" customHeight="1">
      <c r="A303" s="15"/>
      <c r="B303" s="4"/>
      <c r="C303" s="10"/>
      <c r="D303" s="3"/>
      <c r="E303" s="54"/>
      <c r="F303" s="53"/>
      <c r="G303" s="54"/>
      <c r="H303" s="56"/>
      <c r="I303" s="54"/>
      <c r="J303" s="53"/>
      <c r="K303" s="54"/>
      <c r="L303" s="54"/>
      <c r="M303" s="53"/>
      <c r="N303" s="14">
        <f>SUM(N304+N305+N306+N307+N308)</f>
        <v>91475.09999999999</v>
      </c>
      <c r="O303" s="3">
        <f aca="true" t="shared" si="96" ref="O303:AB303">SUM(O304+O305+O306+O307+O308)</f>
        <v>100</v>
      </c>
      <c r="P303" s="3">
        <f t="shared" si="96"/>
        <v>2913.1000000000004</v>
      </c>
      <c r="Q303" s="3">
        <f t="shared" si="96"/>
        <v>90317.4</v>
      </c>
      <c r="R303" s="3">
        <f t="shared" si="96"/>
        <v>2.6</v>
      </c>
      <c r="S303" s="3">
        <f t="shared" si="96"/>
        <v>2905.6000000000004</v>
      </c>
      <c r="T303" s="3">
        <f t="shared" si="96"/>
        <v>92609.90000000001</v>
      </c>
      <c r="U303" s="3">
        <f t="shared" si="96"/>
        <v>884.3</v>
      </c>
      <c r="V303" s="3">
        <f t="shared" si="96"/>
        <v>3059.8</v>
      </c>
      <c r="W303" s="3">
        <f t="shared" si="96"/>
        <v>92610</v>
      </c>
      <c r="X303" s="3">
        <f t="shared" si="96"/>
        <v>1093.5</v>
      </c>
      <c r="Y303" s="3">
        <f t="shared" si="96"/>
        <v>3150.7</v>
      </c>
      <c r="Z303" s="3">
        <f t="shared" si="96"/>
        <v>92610</v>
      </c>
      <c r="AA303" s="3">
        <f t="shared" si="96"/>
        <v>1093.5</v>
      </c>
      <c r="AB303" s="3">
        <f t="shared" si="96"/>
        <v>3150.7</v>
      </c>
      <c r="AC303" s="3">
        <f>SUM(AC304+AC305+AC306+AC307+AC308)</f>
        <v>92610</v>
      </c>
      <c r="AD303" s="3">
        <f>SUM(AD304+AD305+AD306+AD307+AD308)</f>
        <v>1093.5</v>
      </c>
      <c r="AE303" s="3">
        <f>SUM(AE304+AE305+AE306+AE307+AE308)</f>
        <v>3150.7</v>
      </c>
      <c r="AF303" s="12"/>
      <c r="AG303" s="58"/>
      <c r="AH303" s="14">
        <f>SUM(AH304+AH305+AH306+AH307+AH308)</f>
        <v>91475.09999999999</v>
      </c>
      <c r="AI303" s="26">
        <f aca="true" t="shared" si="97" ref="AI303:AS303">SUM(AI304+AI305+AI306+AI307+AI308)</f>
        <v>100</v>
      </c>
      <c r="AJ303" s="26">
        <f t="shared" si="97"/>
        <v>2913.1000000000004</v>
      </c>
      <c r="AK303" s="26">
        <f t="shared" si="97"/>
        <v>92609.90000000001</v>
      </c>
      <c r="AL303" s="26">
        <f t="shared" si="97"/>
        <v>884.3</v>
      </c>
      <c r="AM303" s="26">
        <f t="shared" si="97"/>
        <v>3059.8</v>
      </c>
      <c r="AN303" s="26">
        <f t="shared" si="97"/>
        <v>92610</v>
      </c>
      <c r="AO303" s="26">
        <f t="shared" si="97"/>
        <v>1093.5</v>
      </c>
      <c r="AP303" s="26">
        <f t="shared" si="97"/>
        <v>3150.7</v>
      </c>
      <c r="AQ303" s="26">
        <f t="shared" si="97"/>
        <v>92610</v>
      </c>
      <c r="AR303" s="26">
        <f t="shared" si="97"/>
        <v>1093.5</v>
      </c>
      <c r="AS303" s="26">
        <f t="shared" si="97"/>
        <v>3150.7</v>
      </c>
      <c r="AT303" s="26">
        <f>SUM(AT304+AT305+AT306+AT307+AT308)</f>
        <v>92610</v>
      </c>
      <c r="AU303" s="26">
        <f>SUM(AU304+AU305+AU306+AU307+AU308)</f>
        <v>1093.5</v>
      </c>
      <c r="AV303" s="26">
        <f>SUM(AV304+AV305+AV306+AV307+AV308)</f>
        <v>3150.7</v>
      </c>
    </row>
    <row r="304" spans="1:48" s="2" customFormat="1" ht="24.75" customHeight="1">
      <c r="A304" s="113" t="s">
        <v>87</v>
      </c>
      <c r="B304" s="91">
        <v>2698</v>
      </c>
      <c r="C304" s="10" t="s">
        <v>73</v>
      </c>
      <c r="D304" s="3">
        <v>244</v>
      </c>
      <c r="E304" s="84" t="s">
        <v>247</v>
      </c>
      <c r="F304" s="87" t="s">
        <v>256</v>
      </c>
      <c r="G304" s="84" t="s">
        <v>249</v>
      </c>
      <c r="H304" s="84" t="s">
        <v>268</v>
      </c>
      <c r="I304" s="84" t="s">
        <v>168</v>
      </c>
      <c r="J304" s="87" t="s">
        <v>251</v>
      </c>
      <c r="K304" s="84" t="s">
        <v>151</v>
      </c>
      <c r="L304" s="91" t="s">
        <v>120</v>
      </c>
      <c r="M304" s="90" t="s">
        <v>126</v>
      </c>
      <c r="N304" s="14">
        <v>1100</v>
      </c>
      <c r="O304" s="3"/>
      <c r="P304" s="3"/>
      <c r="Q304" s="3">
        <v>1088.9</v>
      </c>
      <c r="R304" s="3"/>
      <c r="S304" s="3"/>
      <c r="T304" s="3">
        <v>993.3</v>
      </c>
      <c r="U304" s="3"/>
      <c r="V304" s="3"/>
      <c r="W304" s="3">
        <v>993.3</v>
      </c>
      <c r="X304" s="3"/>
      <c r="Y304" s="3"/>
      <c r="Z304" s="3">
        <v>993.3</v>
      </c>
      <c r="AA304" s="3"/>
      <c r="AB304" s="3"/>
      <c r="AC304" s="3">
        <v>993.3</v>
      </c>
      <c r="AD304" s="3"/>
      <c r="AE304" s="3"/>
      <c r="AF304" s="81" t="s">
        <v>284</v>
      </c>
      <c r="AG304" s="81" t="s">
        <v>287</v>
      </c>
      <c r="AH304" s="14">
        <v>1100</v>
      </c>
      <c r="AI304" s="26"/>
      <c r="AJ304" s="26"/>
      <c r="AK304" s="26">
        <v>993.3</v>
      </c>
      <c r="AL304" s="26"/>
      <c r="AM304" s="26"/>
      <c r="AN304" s="26">
        <v>993.3</v>
      </c>
      <c r="AO304" s="26"/>
      <c r="AP304" s="26"/>
      <c r="AQ304" s="26">
        <v>993.3</v>
      </c>
      <c r="AR304" s="26"/>
      <c r="AS304" s="26"/>
      <c r="AT304" s="26">
        <v>993.3</v>
      </c>
      <c r="AU304" s="26"/>
      <c r="AV304" s="26"/>
    </row>
    <row r="305" spans="1:48" s="2" customFormat="1" ht="23.25" customHeight="1">
      <c r="A305" s="113"/>
      <c r="B305" s="91"/>
      <c r="C305" s="10" t="s">
        <v>73</v>
      </c>
      <c r="D305" s="3">
        <v>313</v>
      </c>
      <c r="E305" s="84"/>
      <c r="F305" s="87"/>
      <c r="G305" s="84"/>
      <c r="H305" s="84"/>
      <c r="I305" s="84"/>
      <c r="J305" s="87"/>
      <c r="K305" s="84"/>
      <c r="L305" s="91"/>
      <c r="M305" s="90"/>
      <c r="N305" s="3">
        <v>85656.6</v>
      </c>
      <c r="O305" s="3"/>
      <c r="P305" s="3"/>
      <c r="Q305" s="3">
        <v>85110.6</v>
      </c>
      <c r="R305" s="3"/>
      <c r="S305" s="3"/>
      <c r="T305" s="3">
        <v>84892.5</v>
      </c>
      <c r="U305" s="3"/>
      <c r="V305" s="3"/>
      <c r="W305" s="3">
        <v>84892.5</v>
      </c>
      <c r="X305" s="3"/>
      <c r="Y305" s="3"/>
      <c r="Z305" s="3">
        <v>84892.5</v>
      </c>
      <c r="AA305" s="3"/>
      <c r="AB305" s="3"/>
      <c r="AC305" s="3">
        <v>84892.5</v>
      </c>
      <c r="AD305" s="3"/>
      <c r="AE305" s="3"/>
      <c r="AF305" s="82"/>
      <c r="AG305" s="82"/>
      <c r="AH305" s="26">
        <v>85656.6</v>
      </c>
      <c r="AI305" s="26"/>
      <c r="AJ305" s="26"/>
      <c r="AK305" s="26">
        <v>84892.5</v>
      </c>
      <c r="AL305" s="26"/>
      <c r="AM305" s="26"/>
      <c r="AN305" s="26">
        <v>84892.5</v>
      </c>
      <c r="AO305" s="26"/>
      <c r="AP305" s="26"/>
      <c r="AQ305" s="26">
        <v>84892.5</v>
      </c>
      <c r="AR305" s="26"/>
      <c r="AS305" s="26"/>
      <c r="AT305" s="26">
        <v>84892.5</v>
      </c>
      <c r="AU305" s="26"/>
      <c r="AV305" s="26"/>
    </row>
    <row r="306" spans="1:48" s="2" customFormat="1" ht="18" customHeight="1">
      <c r="A306" s="113"/>
      <c r="B306" s="91"/>
      <c r="C306" s="10" t="s">
        <v>74</v>
      </c>
      <c r="D306" s="3">
        <v>111</v>
      </c>
      <c r="E306" s="84"/>
      <c r="F306" s="87"/>
      <c r="G306" s="84"/>
      <c r="H306" s="84"/>
      <c r="I306" s="84"/>
      <c r="J306" s="87"/>
      <c r="K306" s="84"/>
      <c r="L306" s="91"/>
      <c r="M306" s="90"/>
      <c r="N306" s="3">
        <v>2237.4</v>
      </c>
      <c r="O306" s="3"/>
      <c r="P306" s="3">
        <v>2237.4</v>
      </c>
      <c r="Q306" s="3">
        <v>2237.4</v>
      </c>
      <c r="R306" s="3"/>
      <c r="S306" s="3">
        <v>2237.4</v>
      </c>
      <c r="T306" s="3">
        <v>2350.1</v>
      </c>
      <c r="U306" s="3"/>
      <c r="V306" s="3">
        <v>2350.1</v>
      </c>
      <c r="W306" s="3">
        <v>2419.9</v>
      </c>
      <c r="X306" s="3"/>
      <c r="Y306" s="3">
        <v>2419.9</v>
      </c>
      <c r="Z306" s="3">
        <v>2419.9</v>
      </c>
      <c r="AA306" s="3"/>
      <c r="AB306" s="3">
        <v>2419.9</v>
      </c>
      <c r="AC306" s="3">
        <v>2419.9</v>
      </c>
      <c r="AD306" s="3"/>
      <c r="AE306" s="3">
        <v>2419.9</v>
      </c>
      <c r="AF306" s="82"/>
      <c r="AG306" s="82"/>
      <c r="AH306" s="26">
        <v>2237.4</v>
      </c>
      <c r="AI306" s="26"/>
      <c r="AJ306" s="26">
        <v>2237.4</v>
      </c>
      <c r="AK306" s="26">
        <v>2350.1</v>
      </c>
      <c r="AL306" s="26"/>
      <c r="AM306" s="26">
        <v>2350.1</v>
      </c>
      <c r="AN306" s="26">
        <v>2419.9</v>
      </c>
      <c r="AO306" s="26"/>
      <c r="AP306" s="26">
        <v>2419.9</v>
      </c>
      <c r="AQ306" s="26">
        <v>2419.9</v>
      </c>
      <c r="AR306" s="26"/>
      <c r="AS306" s="26">
        <v>2419.9</v>
      </c>
      <c r="AT306" s="26">
        <v>2419.9</v>
      </c>
      <c r="AU306" s="26"/>
      <c r="AV306" s="26">
        <v>2419.9</v>
      </c>
    </row>
    <row r="307" spans="1:48" s="2" customFormat="1" ht="20.25" customHeight="1">
      <c r="A307" s="113"/>
      <c r="B307" s="91"/>
      <c r="C307" s="10" t="s">
        <v>74</v>
      </c>
      <c r="D307" s="3">
        <v>119</v>
      </c>
      <c r="E307" s="84"/>
      <c r="F307" s="87"/>
      <c r="G307" s="84"/>
      <c r="H307" s="84"/>
      <c r="I307" s="84"/>
      <c r="J307" s="87"/>
      <c r="K307" s="84"/>
      <c r="L307" s="91"/>
      <c r="M307" s="90"/>
      <c r="N307" s="3">
        <v>675.7</v>
      </c>
      <c r="O307" s="3"/>
      <c r="P307" s="3">
        <v>675.7</v>
      </c>
      <c r="Q307" s="3">
        <v>668.2</v>
      </c>
      <c r="R307" s="3"/>
      <c r="S307" s="3">
        <v>668.2</v>
      </c>
      <c r="T307" s="3">
        <v>709.7</v>
      </c>
      <c r="U307" s="3"/>
      <c r="V307" s="3">
        <v>709.7</v>
      </c>
      <c r="W307" s="3">
        <v>730.8</v>
      </c>
      <c r="X307" s="3"/>
      <c r="Y307" s="3">
        <v>730.8</v>
      </c>
      <c r="Z307" s="3">
        <v>730.8</v>
      </c>
      <c r="AA307" s="3"/>
      <c r="AB307" s="3">
        <v>730.8</v>
      </c>
      <c r="AC307" s="3">
        <v>730.8</v>
      </c>
      <c r="AD307" s="3"/>
      <c r="AE307" s="3">
        <v>730.8</v>
      </c>
      <c r="AF307" s="82"/>
      <c r="AG307" s="82"/>
      <c r="AH307" s="26">
        <v>675.7</v>
      </c>
      <c r="AI307" s="26"/>
      <c r="AJ307" s="26">
        <v>675.7</v>
      </c>
      <c r="AK307" s="26">
        <v>709.7</v>
      </c>
      <c r="AL307" s="26"/>
      <c r="AM307" s="26">
        <v>709.7</v>
      </c>
      <c r="AN307" s="26">
        <v>730.8</v>
      </c>
      <c r="AO307" s="26"/>
      <c r="AP307" s="26">
        <v>730.8</v>
      </c>
      <c r="AQ307" s="26">
        <v>730.8</v>
      </c>
      <c r="AR307" s="26"/>
      <c r="AS307" s="26">
        <v>730.8</v>
      </c>
      <c r="AT307" s="26">
        <v>730.8</v>
      </c>
      <c r="AU307" s="26"/>
      <c r="AV307" s="26">
        <v>730.8</v>
      </c>
    </row>
    <row r="308" spans="1:48" s="2" customFormat="1" ht="18" customHeight="1">
      <c r="A308" s="113"/>
      <c r="B308" s="91"/>
      <c r="C308" s="10" t="s">
        <v>74</v>
      </c>
      <c r="D308" s="3">
        <v>244</v>
      </c>
      <c r="E308" s="84"/>
      <c r="F308" s="87"/>
      <c r="G308" s="84"/>
      <c r="H308" s="84"/>
      <c r="I308" s="84"/>
      <c r="J308" s="87"/>
      <c r="K308" s="84"/>
      <c r="L308" s="91"/>
      <c r="M308" s="90"/>
      <c r="N308" s="3">
        <v>1805.4</v>
      </c>
      <c r="O308" s="3">
        <v>100</v>
      </c>
      <c r="P308" s="3"/>
      <c r="Q308" s="3">
        <v>1212.3</v>
      </c>
      <c r="R308" s="3">
        <v>2.6</v>
      </c>
      <c r="S308" s="3"/>
      <c r="T308" s="3">
        <v>3664.3</v>
      </c>
      <c r="U308" s="3">
        <f>884.3</f>
        <v>884.3</v>
      </c>
      <c r="V308" s="3"/>
      <c r="W308" s="3">
        <v>3573.5</v>
      </c>
      <c r="X308" s="3">
        <f>1093.5</f>
        <v>1093.5</v>
      </c>
      <c r="Y308" s="3"/>
      <c r="Z308" s="3">
        <v>3573.5</v>
      </c>
      <c r="AA308" s="3">
        <f>1093.5</f>
        <v>1093.5</v>
      </c>
      <c r="AB308" s="3"/>
      <c r="AC308" s="3">
        <v>3573.5</v>
      </c>
      <c r="AD308" s="3">
        <f>1093.5</f>
        <v>1093.5</v>
      </c>
      <c r="AE308" s="3"/>
      <c r="AF308" s="83"/>
      <c r="AG308" s="83"/>
      <c r="AH308" s="26">
        <v>1805.4</v>
      </c>
      <c r="AI308" s="26">
        <v>100</v>
      </c>
      <c r="AJ308" s="26"/>
      <c r="AK308" s="26">
        <v>3664.3</v>
      </c>
      <c r="AL308" s="26">
        <f>884.3</f>
        <v>884.3</v>
      </c>
      <c r="AM308" s="26"/>
      <c r="AN308" s="26">
        <v>3573.5</v>
      </c>
      <c r="AO308" s="26">
        <f>1093.5</f>
        <v>1093.5</v>
      </c>
      <c r="AP308" s="26"/>
      <c r="AQ308" s="26">
        <v>3573.5</v>
      </c>
      <c r="AR308" s="26">
        <f>1093.5</f>
        <v>1093.5</v>
      </c>
      <c r="AS308" s="26"/>
      <c r="AT308" s="26">
        <v>3573.5</v>
      </c>
      <c r="AU308" s="26">
        <f>1093.5</f>
        <v>1093.5</v>
      </c>
      <c r="AV308" s="26"/>
    </row>
    <row r="309" spans="1:48" s="2" customFormat="1" ht="18" customHeight="1">
      <c r="A309" s="15"/>
      <c r="B309" s="4"/>
      <c r="C309" s="10"/>
      <c r="D309" s="3"/>
      <c r="E309" s="54"/>
      <c r="F309" s="53"/>
      <c r="G309" s="54"/>
      <c r="H309" s="54"/>
      <c r="I309" s="54"/>
      <c r="J309" s="53"/>
      <c r="K309" s="54"/>
      <c r="L309" s="54"/>
      <c r="M309" s="53"/>
      <c r="N309" s="3">
        <f>SUM(N310)</f>
        <v>0</v>
      </c>
      <c r="O309" s="3">
        <f aca="true" t="shared" si="98" ref="O309:AE309">SUM(O310)</f>
        <v>0</v>
      </c>
      <c r="P309" s="3">
        <f t="shared" si="98"/>
        <v>0</v>
      </c>
      <c r="Q309" s="3">
        <f t="shared" si="98"/>
        <v>0</v>
      </c>
      <c r="R309" s="3">
        <f t="shared" si="98"/>
        <v>0</v>
      </c>
      <c r="S309" s="3">
        <f t="shared" si="98"/>
        <v>0</v>
      </c>
      <c r="T309" s="3">
        <f t="shared" si="98"/>
        <v>21</v>
      </c>
      <c r="U309" s="3">
        <f t="shared" si="98"/>
        <v>0</v>
      </c>
      <c r="V309" s="3">
        <f t="shared" si="98"/>
        <v>0</v>
      </c>
      <c r="W309" s="3">
        <f t="shared" si="98"/>
        <v>21</v>
      </c>
      <c r="X309" s="3">
        <f t="shared" si="98"/>
        <v>0</v>
      </c>
      <c r="Y309" s="3">
        <f t="shared" si="98"/>
        <v>0</v>
      </c>
      <c r="Z309" s="3">
        <f t="shared" si="98"/>
        <v>21</v>
      </c>
      <c r="AA309" s="3">
        <f t="shared" si="98"/>
        <v>0</v>
      </c>
      <c r="AB309" s="3">
        <f t="shared" si="98"/>
        <v>0</v>
      </c>
      <c r="AC309" s="3">
        <f t="shared" si="98"/>
        <v>21</v>
      </c>
      <c r="AD309" s="3">
        <f t="shared" si="98"/>
        <v>0</v>
      </c>
      <c r="AE309" s="3">
        <f t="shared" si="98"/>
        <v>0</v>
      </c>
      <c r="AF309" s="12"/>
      <c r="AG309" s="58"/>
      <c r="AH309" s="26">
        <f>SUM(AH310)</f>
        <v>0</v>
      </c>
      <c r="AI309" s="26">
        <f aca="true" t="shared" si="99" ref="AI309:AV309">SUM(AI310)</f>
        <v>0</v>
      </c>
      <c r="AJ309" s="26">
        <f t="shared" si="99"/>
        <v>0</v>
      </c>
      <c r="AK309" s="26">
        <f t="shared" si="99"/>
        <v>21</v>
      </c>
      <c r="AL309" s="26">
        <f t="shared" si="99"/>
        <v>0</v>
      </c>
      <c r="AM309" s="26">
        <f t="shared" si="99"/>
        <v>0</v>
      </c>
      <c r="AN309" s="26">
        <f t="shared" si="99"/>
        <v>21</v>
      </c>
      <c r="AO309" s="26">
        <f t="shared" si="99"/>
        <v>0</v>
      </c>
      <c r="AP309" s="26">
        <f t="shared" si="99"/>
        <v>0</v>
      </c>
      <c r="AQ309" s="26">
        <f t="shared" si="99"/>
        <v>21</v>
      </c>
      <c r="AR309" s="26">
        <f t="shared" si="99"/>
        <v>0</v>
      </c>
      <c r="AS309" s="26">
        <f t="shared" si="99"/>
        <v>0</v>
      </c>
      <c r="AT309" s="26">
        <f t="shared" si="99"/>
        <v>21</v>
      </c>
      <c r="AU309" s="26">
        <f t="shared" si="99"/>
        <v>0</v>
      </c>
      <c r="AV309" s="26">
        <f t="shared" si="99"/>
        <v>0</v>
      </c>
    </row>
    <row r="310" spans="1:48" s="2" customFormat="1" ht="45" customHeight="1">
      <c r="A310" s="36" t="s">
        <v>89</v>
      </c>
      <c r="B310" s="91">
        <v>269902</v>
      </c>
      <c r="C310" s="98" t="s">
        <v>65</v>
      </c>
      <c r="D310" s="84">
        <v>811</v>
      </c>
      <c r="E310" s="61" t="s">
        <v>247</v>
      </c>
      <c r="F310" s="67" t="s">
        <v>256</v>
      </c>
      <c r="G310" s="63" t="s">
        <v>249</v>
      </c>
      <c r="H310" s="63" t="s">
        <v>269</v>
      </c>
      <c r="I310" s="63" t="s">
        <v>168</v>
      </c>
      <c r="J310" s="63" t="s">
        <v>270</v>
      </c>
      <c r="K310" s="62" t="s">
        <v>152</v>
      </c>
      <c r="L310" s="62" t="s">
        <v>120</v>
      </c>
      <c r="M310" s="63" t="s">
        <v>126</v>
      </c>
      <c r="N310" s="84"/>
      <c r="O310" s="84"/>
      <c r="P310" s="18"/>
      <c r="Q310" s="18"/>
      <c r="R310" s="18"/>
      <c r="S310" s="18"/>
      <c r="T310" s="84">
        <v>21</v>
      </c>
      <c r="U310" s="18"/>
      <c r="V310" s="84"/>
      <c r="W310" s="84">
        <v>21</v>
      </c>
      <c r="X310" s="18"/>
      <c r="Y310" s="84"/>
      <c r="Z310" s="84">
        <v>21</v>
      </c>
      <c r="AA310" s="18"/>
      <c r="AB310" s="18"/>
      <c r="AC310" s="84">
        <v>21</v>
      </c>
      <c r="AD310" s="18"/>
      <c r="AE310" s="18"/>
      <c r="AF310" s="58" t="s">
        <v>284</v>
      </c>
      <c r="AG310" s="58" t="s">
        <v>287</v>
      </c>
      <c r="AH310" s="84"/>
      <c r="AI310" s="84"/>
      <c r="AJ310" s="24"/>
      <c r="AK310" s="84">
        <v>21</v>
      </c>
      <c r="AL310" s="24"/>
      <c r="AM310" s="84"/>
      <c r="AN310" s="84">
        <v>21</v>
      </c>
      <c r="AO310" s="24"/>
      <c r="AP310" s="84"/>
      <c r="AQ310" s="84">
        <v>21</v>
      </c>
      <c r="AR310" s="24"/>
      <c r="AS310" s="24"/>
      <c r="AT310" s="84">
        <v>21</v>
      </c>
      <c r="AU310" s="24"/>
      <c r="AV310" s="24"/>
    </row>
    <row r="311" spans="1:48" s="2" customFormat="1" ht="119.25" customHeight="1" hidden="1" thickBot="1">
      <c r="A311" s="76"/>
      <c r="B311" s="91"/>
      <c r="C311" s="98"/>
      <c r="D311" s="84"/>
      <c r="E311" s="65"/>
      <c r="F311" s="73"/>
      <c r="G311" s="73"/>
      <c r="H311" s="73"/>
      <c r="I311" s="73"/>
      <c r="J311" s="73"/>
      <c r="K311" s="65"/>
      <c r="L311" s="65"/>
      <c r="M311" s="73"/>
      <c r="N311" s="84"/>
      <c r="O311" s="84"/>
      <c r="P311" s="18"/>
      <c r="Q311" s="18"/>
      <c r="R311" s="18"/>
      <c r="S311" s="18"/>
      <c r="T311" s="84"/>
      <c r="U311" s="18"/>
      <c r="V311" s="84"/>
      <c r="W311" s="84"/>
      <c r="X311" s="18"/>
      <c r="Y311" s="84"/>
      <c r="Z311" s="84"/>
      <c r="AA311" s="18"/>
      <c r="AB311" s="18"/>
      <c r="AC311" s="84"/>
      <c r="AD311" s="18"/>
      <c r="AE311" s="18"/>
      <c r="AF311" s="49"/>
      <c r="AG311" s="58"/>
      <c r="AH311" s="84"/>
      <c r="AI311" s="84"/>
      <c r="AJ311" s="24"/>
      <c r="AK311" s="84"/>
      <c r="AL311" s="24"/>
      <c r="AM311" s="84"/>
      <c r="AN311" s="84"/>
      <c r="AO311" s="24"/>
      <c r="AP311" s="84"/>
      <c r="AQ311" s="84"/>
      <c r="AR311" s="24"/>
      <c r="AS311" s="24"/>
      <c r="AT311" s="84"/>
      <c r="AU311" s="24"/>
      <c r="AV311" s="24"/>
    </row>
    <row r="312" spans="1:48" s="2" customFormat="1" ht="18" customHeight="1">
      <c r="A312" s="77"/>
      <c r="B312" s="4"/>
      <c r="C312" s="19"/>
      <c r="D312" s="18"/>
      <c r="E312" s="66"/>
      <c r="F312" s="74"/>
      <c r="G312" s="74"/>
      <c r="H312" s="74"/>
      <c r="I312" s="74"/>
      <c r="J312" s="74"/>
      <c r="K312" s="66"/>
      <c r="L312" s="66"/>
      <c r="M312" s="74"/>
      <c r="N312" s="18">
        <f>SUM(N313)</f>
        <v>0</v>
      </c>
      <c r="O312" s="60">
        <f aca="true" t="shared" si="100" ref="O312:AE312">SUM(O313)</f>
        <v>0</v>
      </c>
      <c r="P312" s="60">
        <f t="shared" si="100"/>
        <v>0</v>
      </c>
      <c r="Q312" s="60">
        <f t="shared" si="100"/>
        <v>0</v>
      </c>
      <c r="R312" s="60">
        <f t="shared" si="100"/>
        <v>0</v>
      </c>
      <c r="S312" s="60">
        <f t="shared" si="100"/>
        <v>0</v>
      </c>
      <c r="T312" s="60">
        <f t="shared" si="100"/>
        <v>0</v>
      </c>
      <c r="U312" s="60">
        <f t="shared" si="100"/>
        <v>0</v>
      </c>
      <c r="V312" s="60">
        <f t="shared" si="100"/>
        <v>0</v>
      </c>
      <c r="W312" s="60">
        <f t="shared" si="100"/>
        <v>0</v>
      </c>
      <c r="X312" s="60">
        <f t="shared" si="100"/>
        <v>0</v>
      </c>
      <c r="Y312" s="60">
        <f t="shared" si="100"/>
        <v>0</v>
      </c>
      <c r="Z312" s="60">
        <f t="shared" si="100"/>
        <v>0</v>
      </c>
      <c r="AA312" s="60">
        <f t="shared" si="100"/>
        <v>0</v>
      </c>
      <c r="AB312" s="60">
        <f t="shared" si="100"/>
        <v>0</v>
      </c>
      <c r="AC312" s="60">
        <f t="shared" si="100"/>
        <v>0</v>
      </c>
      <c r="AD312" s="60">
        <f t="shared" si="100"/>
        <v>0</v>
      </c>
      <c r="AE312" s="60">
        <f t="shared" si="100"/>
        <v>0</v>
      </c>
      <c r="AF312" s="50"/>
      <c r="AG312" s="58"/>
      <c r="AH312" s="24">
        <f>SUM(AH313)</f>
        <v>0</v>
      </c>
      <c r="AI312" s="60">
        <f aca="true" t="shared" si="101" ref="AI312:AV312">SUM(AI313)</f>
        <v>0</v>
      </c>
      <c r="AJ312" s="60">
        <f t="shared" si="101"/>
        <v>0</v>
      </c>
      <c r="AK312" s="60">
        <f t="shared" si="101"/>
        <v>0</v>
      </c>
      <c r="AL312" s="60">
        <f t="shared" si="101"/>
        <v>0</v>
      </c>
      <c r="AM312" s="60">
        <f t="shared" si="101"/>
        <v>0</v>
      </c>
      <c r="AN312" s="60">
        <f t="shared" si="101"/>
        <v>0</v>
      </c>
      <c r="AO312" s="60">
        <f t="shared" si="101"/>
        <v>0</v>
      </c>
      <c r="AP312" s="60">
        <f t="shared" si="101"/>
        <v>0</v>
      </c>
      <c r="AQ312" s="60">
        <f t="shared" si="101"/>
        <v>0</v>
      </c>
      <c r="AR312" s="60">
        <f t="shared" si="101"/>
        <v>0</v>
      </c>
      <c r="AS312" s="60">
        <f t="shared" si="101"/>
        <v>0</v>
      </c>
      <c r="AT312" s="60">
        <f t="shared" si="101"/>
        <v>0</v>
      </c>
      <c r="AU312" s="60">
        <f t="shared" si="101"/>
        <v>0</v>
      </c>
      <c r="AV312" s="60">
        <f t="shared" si="101"/>
        <v>0</v>
      </c>
    </row>
    <row r="313" spans="1:48" ht="28.5" customHeight="1">
      <c r="A313" s="113" t="s">
        <v>79</v>
      </c>
      <c r="B313" s="4">
        <v>269904</v>
      </c>
      <c r="C313" s="98" t="s">
        <v>57</v>
      </c>
      <c r="D313" s="84">
        <v>244</v>
      </c>
      <c r="E313" s="84" t="s">
        <v>95</v>
      </c>
      <c r="F313" s="87"/>
      <c r="G313" s="84"/>
      <c r="H313" s="84"/>
      <c r="I313" s="84"/>
      <c r="J313" s="87"/>
      <c r="K313" s="84"/>
      <c r="L313" s="54"/>
      <c r="M313" s="53"/>
      <c r="N313" s="84"/>
      <c r="O313" s="84"/>
      <c r="P313" s="18"/>
      <c r="Q313" s="18"/>
      <c r="R313" s="18"/>
      <c r="S313" s="18"/>
      <c r="T313" s="84"/>
      <c r="U313" s="18"/>
      <c r="V313" s="84"/>
      <c r="W313" s="84"/>
      <c r="X313" s="18"/>
      <c r="Y313" s="84"/>
      <c r="Z313" s="84"/>
      <c r="AA313" s="18"/>
      <c r="AB313" s="18"/>
      <c r="AC313" s="84"/>
      <c r="AD313" s="18"/>
      <c r="AE313" s="18"/>
      <c r="AF313" s="12"/>
      <c r="AG313" s="58"/>
      <c r="AH313" s="84"/>
      <c r="AI313" s="84"/>
      <c r="AJ313" s="24"/>
      <c r="AK313" s="84"/>
      <c r="AL313" s="24"/>
      <c r="AM313" s="84"/>
      <c r="AN313" s="84"/>
      <c r="AO313" s="24"/>
      <c r="AP313" s="84"/>
      <c r="AQ313" s="84"/>
      <c r="AR313" s="24"/>
      <c r="AS313" s="24"/>
      <c r="AT313" s="84"/>
      <c r="AU313" s="24"/>
      <c r="AV313" s="24"/>
    </row>
    <row r="314" spans="1:48" ht="124.5" customHeight="1" hidden="1" thickBot="1">
      <c r="A314" s="113"/>
      <c r="B314" s="12"/>
      <c r="C314" s="98"/>
      <c r="D314" s="84"/>
      <c r="E314" s="84"/>
      <c r="F314" s="87"/>
      <c r="G314" s="84"/>
      <c r="H314" s="84"/>
      <c r="I314" s="84"/>
      <c r="J314" s="87"/>
      <c r="K314" s="84"/>
      <c r="L314" s="54"/>
      <c r="M314" s="53"/>
      <c r="N314" s="84"/>
      <c r="O314" s="84"/>
      <c r="P314" s="18"/>
      <c r="Q314" s="18"/>
      <c r="R314" s="18"/>
      <c r="S314" s="18"/>
      <c r="T314" s="84"/>
      <c r="U314" s="18"/>
      <c r="V314" s="84"/>
      <c r="W314" s="84"/>
      <c r="X314" s="18"/>
      <c r="Y314" s="84"/>
      <c r="Z314" s="84"/>
      <c r="AA314" s="18"/>
      <c r="AB314" s="18"/>
      <c r="AC314" s="84"/>
      <c r="AD314" s="18"/>
      <c r="AE314" s="18"/>
      <c r="AF314" s="12"/>
      <c r="AG314" s="58"/>
      <c r="AH314" s="84"/>
      <c r="AI314" s="84"/>
      <c r="AJ314" s="24"/>
      <c r="AK314" s="84"/>
      <c r="AL314" s="24"/>
      <c r="AM314" s="84"/>
      <c r="AN314" s="84"/>
      <c r="AO314" s="24"/>
      <c r="AP314" s="84"/>
      <c r="AQ314" s="84"/>
      <c r="AR314" s="24"/>
      <c r="AS314" s="24"/>
      <c r="AT314" s="84"/>
      <c r="AU314" s="24"/>
      <c r="AV314" s="24"/>
    </row>
    <row r="315" spans="1:49" s="8" customFormat="1" ht="18.75" customHeight="1">
      <c r="A315" s="15"/>
      <c r="B315" s="4"/>
      <c r="C315" s="19"/>
      <c r="D315" s="18"/>
      <c r="E315" s="54"/>
      <c r="F315" s="53"/>
      <c r="G315" s="54"/>
      <c r="H315" s="54"/>
      <c r="I315" s="54"/>
      <c r="J315" s="53"/>
      <c r="K315" s="54"/>
      <c r="L315" s="54"/>
      <c r="M315" s="53"/>
      <c r="N315" s="13">
        <f>SUM(N316+N317)</f>
        <v>172.7</v>
      </c>
      <c r="O315" s="18">
        <f aca="true" t="shared" si="102" ref="O315:AB315">SUM(O316+O317)</f>
        <v>0</v>
      </c>
      <c r="P315" s="18">
        <f t="shared" si="102"/>
        <v>0</v>
      </c>
      <c r="Q315" s="18">
        <f t="shared" si="102"/>
        <v>163.29999999999998</v>
      </c>
      <c r="R315" s="18">
        <f t="shared" si="102"/>
        <v>0</v>
      </c>
      <c r="S315" s="18">
        <f t="shared" si="102"/>
        <v>0</v>
      </c>
      <c r="T315" s="18">
        <f t="shared" si="102"/>
        <v>0</v>
      </c>
      <c r="U315" s="18">
        <f t="shared" si="102"/>
        <v>0</v>
      </c>
      <c r="V315" s="18">
        <f t="shared" si="102"/>
        <v>0</v>
      </c>
      <c r="W315" s="18">
        <f t="shared" si="102"/>
        <v>0</v>
      </c>
      <c r="X315" s="18">
        <f t="shared" si="102"/>
        <v>0</v>
      </c>
      <c r="Y315" s="18">
        <f t="shared" si="102"/>
        <v>0</v>
      </c>
      <c r="Z315" s="18">
        <f t="shared" si="102"/>
        <v>0</v>
      </c>
      <c r="AA315" s="18">
        <f t="shared" si="102"/>
        <v>0</v>
      </c>
      <c r="AB315" s="18">
        <f t="shared" si="102"/>
        <v>0</v>
      </c>
      <c r="AC315" s="18">
        <f>SUM(AC316+AC317)</f>
        <v>0</v>
      </c>
      <c r="AD315" s="18">
        <f>SUM(AD316+AD317)</f>
        <v>0</v>
      </c>
      <c r="AE315" s="18">
        <f>SUM(AE316+AE317)</f>
        <v>0</v>
      </c>
      <c r="AF315" s="12"/>
      <c r="AG315" s="58"/>
      <c r="AH315" s="35">
        <f>SUM(AH316+AH317)</f>
        <v>172.7</v>
      </c>
      <c r="AI315" s="24">
        <f aca="true" t="shared" si="103" ref="AI315:AS315">SUM(AI316+AI317)</f>
        <v>0</v>
      </c>
      <c r="AJ315" s="24">
        <f t="shared" si="103"/>
        <v>0</v>
      </c>
      <c r="AK315" s="24">
        <f t="shared" si="103"/>
        <v>0</v>
      </c>
      <c r="AL315" s="24">
        <f t="shared" si="103"/>
        <v>0</v>
      </c>
      <c r="AM315" s="24">
        <f t="shared" si="103"/>
        <v>0</v>
      </c>
      <c r="AN315" s="24">
        <f t="shared" si="103"/>
        <v>0</v>
      </c>
      <c r="AO315" s="24">
        <f t="shared" si="103"/>
        <v>0</v>
      </c>
      <c r="AP315" s="24">
        <f t="shared" si="103"/>
        <v>0</v>
      </c>
      <c r="AQ315" s="24">
        <f t="shared" si="103"/>
        <v>0</v>
      </c>
      <c r="AR315" s="24">
        <f t="shared" si="103"/>
        <v>0</v>
      </c>
      <c r="AS315" s="24">
        <f t="shared" si="103"/>
        <v>0</v>
      </c>
      <c r="AT315" s="24">
        <f>SUM(AT316+AT317)</f>
        <v>0</v>
      </c>
      <c r="AU315" s="24">
        <f>SUM(AU316+AU317)</f>
        <v>0</v>
      </c>
      <c r="AV315" s="24">
        <f>SUM(AV316+AV317)</f>
        <v>0</v>
      </c>
      <c r="AW315" s="22"/>
    </row>
    <row r="316" spans="1:48" ht="22.5" customHeight="1">
      <c r="A316" s="113" t="s">
        <v>100</v>
      </c>
      <c r="B316" s="91">
        <v>269905</v>
      </c>
      <c r="C316" s="10" t="s">
        <v>73</v>
      </c>
      <c r="D316" s="3">
        <v>244</v>
      </c>
      <c r="E316" s="91" t="s">
        <v>271</v>
      </c>
      <c r="F316" s="90" t="s">
        <v>272</v>
      </c>
      <c r="G316" s="91" t="s">
        <v>273</v>
      </c>
      <c r="H316" s="91" t="s">
        <v>274</v>
      </c>
      <c r="I316" s="91" t="s">
        <v>208</v>
      </c>
      <c r="J316" s="90" t="s">
        <v>275</v>
      </c>
      <c r="K316" s="91" t="s">
        <v>151</v>
      </c>
      <c r="L316" s="91" t="s">
        <v>120</v>
      </c>
      <c r="M316" s="90" t="s">
        <v>126</v>
      </c>
      <c r="N316" s="14">
        <v>11</v>
      </c>
      <c r="O316" s="3"/>
      <c r="P316" s="3"/>
      <c r="Q316" s="3">
        <v>1.7</v>
      </c>
      <c r="R316" s="3"/>
      <c r="S316" s="3"/>
      <c r="T316" s="3"/>
      <c r="U316" s="3"/>
      <c r="V316" s="3"/>
      <c r="W316" s="3"/>
      <c r="X316" s="3"/>
      <c r="Y316" s="3"/>
      <c r="Z316" s="3"/>
      <c r="AA316" s="3"/>
      <c r="AB316" s="3"/>
      <c r="AC316" s="3"/>
      <c r="AD316" s="3"/>
      <c r="AE316" s="3"/>
      <c r="AF316" s="81" t="s">
        <v>284</v>
      </c>
      <c r="AG316" s="81" t="s">
        <v>287</v>
      </c>
      <c r="AH316" s="14">
        <v>11</v>
      </c>
      <c r="AI316" s="26"/>
      <c r="AJ316" s="26"/>
      <c r="AK316" s="26"/>
      <c r="AL316" s="26"/>
      <c r="AM316" s="26"/>
      <c r="AN316" s="26"/>
      <c r="AO316" s="26"/>
      <c r="AP316" s="26"/>
      <c r="AQ316" s="26"/>
      <c r="AR316" s="26"/>
      <c r="AS316" s="26"/>
      <c r="AT316" s="26"/>
      <c r="AU316" s="26"/>
      <c r="AV316" s="26"/>
    </row>
    <row r="317" spans="1:48" ht="22.5" customHeight="1">
      <c r="A317" s="113"/>
      <c r="B317" s="91"/>
      <c r="C317" s="10" t="s">
        <v>73</v>
      </c>
      <c r="D317" s="3">
        <v>313</v>
      </c>
      <c r="E317" s="91"/>
      <c r="F317" s="90"/>
      <c r="G317" s="91"/>
      <c r="H317" s="91"/>
      <c r="I317" s="91"/>
      <c r="J317" s="90"/>
      <c r="K317" s="91"/>
      <c r="L317" s="91"/>
      <c r="M317" s="90"/>
      <c r="N317" s="3">
        <f>161.7</f>
        <v>161.7</v>
      </c>
      <c r="O317" s="3"/>
      <c r="P317" s="3"/>
      <c r="Q317" s="3">
        <f>161.6</f>
        <v>161.6</v>
      </c>
      <c r="R317" s="3"/>
      <c r="S317" s="3"/>
      <c r="T317" s="3"/>
      <c r="U317" s="3"/>
      <c r="V317" s="3"/>
      <c r="W317" s="3"/>
      <c r="X317" s="3"/>
      <c r="Y317" s="3"/>
      <c r="Z317" s="3"/>
      <c r="AA317" s="3"/>
      <c r="AB317" s="3"/>
      <c r="AC317" s="3"/>
      <c r="AD317" s="3"/>
      <c r="AE317" s="3"/>
      <c r="AF317" s="83"/>
      <c r="AG317" s="83"/>
      <c r="AH317" s="26">
        <f>161.7</f>
        <v>161.7</v>
      </c>
      <c r="AI317" s="26"/>
      <c r="AJ317" s="26"/>
      <c r="AK317" s="26"/>
      <c r="AL317" s="26"/>
      <c r="AM317" s="26"/>
      <c r="AN317" s="26"/>
      <c r="AO317" s="26"/>
      <c r="AP317" s="26"/>
      <c r="AQ317" s="26"/>
      <c r="AR317" s="26"/>
      <c r="AS317" s="26"/>
      <c r="AT317" s="26"/>
      <c r="AU317" s="26"/>
      <c r="AV317" s="26"/>
    </row>
    <row r="318" spans="1:48" ht="30.75" customHeight="1">
      <c r="A318" s="12" t="s">
        <v>13</v>
      </c>
      <c r="B318" s="4">
        <v>8000</v>
      </c>
      <c r="C318" s="10"/>
      <c r="D318" s="3"/>
      <c r="E318" s="52"/>
      <c r="F318" s="52"/>
      <c r="G318" s="52"/>
      <c r="H318" s="52"/>
      <c r="I318" s="52"/>
      <c r="J318" s="52"/>
      <c r="K318" s="52"/>
      <c r="L318" s="52"/>
      <c r="M318" s="52"/>
      <c r="N318" s="14">
        <f aca="true" t="shared" si="104" ref="N318:AB318">SUM(N20+N189+N263+N277)</f>
        <v>1392935.6400000001</v>
      </c>
      <c r="O318" s="3">
        <f t="shared" si="104"/>
        <v>188179.50000000003</v>
      </c>
      <c r="P318" s="3">
        <f t="shared" si="104"/>
        <v>700900.8999999999</v>
      </c>
      <c r="Q318" s="14">
        <f t="shared" si="104"/>
        <v>1361175.1400000001</v>
      </c>
      <c r="R318" s="3">
        <f t="shared" si="104"/>
        <v>183519.50000000003</v>
      </c>
      <c r="S318" s="3">
        <f t="shared" si="104"/>
        <v>699161.0999999999</v>
      </c>
      <c r="T318" s="3">
        <f t="shared" si="104"/>
        <v>1291202.7000000002</v>
      </c>
      <c r="U318" s="3">
        <f t="shared" si="104"/>
        <v>117651.09999999999</v>
      </c>
      <c r="V318" s="3">
        <f t="shared" si="104"/>
        <v>706221.7999999999</v>
      </c>
      <c r="W318" s="3">
        <f t="shared" si="104"/>
        <v>1216348.2</v>
      </c>
      <c r="X318" s="3">
        <f t="shared" si="104"/>
        <v>53987.70000000001</v>
      </c>
      <c r="Y318" s="3">
        <f t="shared" si="104"/>
        <v>732046.2000000001</v>
      </c>
      <c r="Z318" s="3">
        <f t="shared" si="104"/>
        <v>1218538.4</v>
      </c>
      <c r="AA318" s="3">
        <f t="shared" si="104"/>
        <v>41214.2</v>
      </c>
      <c r="AB318" s="3">
        <f t="shared" si="104"/>
        <v>747522</v>
      </c>
      <c r="AC318" s="3">
        <f>SUM(AC20+AC189+AC263+AC277)</f>
        <v>1218538.4</v>
      </c>
      <c r="AD318" s="3">
        <f>SUM(AD20+AD189+AD263+AD277)</f>
        <v>41214.2</v>
      </c>
      <c r="AE318" s="3">
        <f>SUM(AE20+AE189+AE263+AE277)</f>
        <v>747522</v>
      </c>
      <c r="AF318" s="12"/>
      <c r="AG318" s="58"/>
      <c r="AH318" s="14">
        <f aca="true" t="shared" si="105" ref="AH318:AS318">SUM(AH20+AH189+AH263+AH277)</f>
        <v>1392935.6400000001</v>
      </c>
      <c r="AI318" s="26">
        <f t="shared" si="105"/>
        <v>188179.50000000003</v>
      </c>
      <c r="AJ318" s="26">
        <f t="shared" si="105"/>
        <v>700900.8999999999</v>
      </c>
      <c r="AK318" s="26">
        <f t="shared" si="105"/>
        <v>1291202.7000000002</v>
      </c>
      <c r="AL318" s="26">
        <f t="shared" si="105"/>
        <v>117651.09999999999</v>
      </c>
      <c r="AM318" s="26">
        <f t="shared" si="105"/>
        <v>706221.7999999999</v>
      </c>
      <c r="AN318" s="26">
        <f t="shared" si="105"/>
        <v>1216348.2</v>
      </c>
      <c r="AO318" s="26">
        <f t="shared" si="105"/>
        <v>53987.70000000001</v>
      </c>
      <c r="AP318" s="26">
        <f t="shared" si="105"/>
        <v>732046.2000000001</v>
      </c>
      <c r="AQ318" s="26">
        <f t="shared" si="105"/>
        <v>1218538.4</v>
      </c>
      <c r="AR318" s="26">
        <f t="shared" si="105"/>
        <v>41214.2</v>
      </c>
      <c r="AS318" s="26">
        <f t="shared" si="105"/>
        <v>747522</v>
      </c>
      <c r="AT318" s="26">
        <f>SUM(AT20+AT189+AT263+AT277)</f>
        <v>1218538.4</v>
      </c>
      <c r="AU318" s="26">
        <f>SUM(AU20+AU189+AU263+AU277)</f>
        <v>41214.2</v>
      </c>
      <c r="AV318" s="26">
        <f>SUM(AV20+AV189+AV263+AV277)</f>
        <v>747522</v>
      </c>
    </row>
    <row r="320" spans="1:12" ht="15.75">
      <c r="A320" s="1" t="s">
        <v>14</v>
      </c>
      <c r="I320" s="133" t="s">
        <v>297</v>
      </c>
      <c r="J320" s="133"/>
      <c r="K320" s="133"/>
      <c r="L320" s="133"/>
    </row>
    <row r="321" spans="1:31" ht="15.75">
      <c r="A321" s="1" t="s">
        <v>15</v>
      </c>
      <c r="N321" s="16"/>
      <c r="O321" s="16"/>
      <c r="P321" s="16"/>
      <c r="Q321" s="16"/>
      <c r="R321" s="16"/>
      <c r="S321" s="16"/>
      <c r="T321" s="16"/>
      <c r="U321" s="16"/>
      <c r="V321" s="16"/>
      <c r="W321" s="16"/>
      <c r="X321" s="16"/>
      <c r="Y321" s="16"/>
      <c r="Z321" s="16"/>
      <c r="AA321" s="16"/>
      <c r="AB321" s="16"/>
      <c r="AC321" s="16"/>
      <c r="AD321" s="16"/>
      <c r="AE321" s="16"/>
    </row>
    <row r="322" ht="15.75">
      <c r="A322" s="1"/>
    </row>
    <row r="323" spans="1:18" ht="15.75">
      <c r="A323" s="1" t="s">
        <v>16</v>
      </c>
      <c r="H323" s="133" t="s">
        <v>298</v>
      </c>
      <c r="I323" s="133"/>
      <c r="J323" s="133"/>
      <c r="K323" s="133"/>
      <c r="L323" s="133" t="s">
        <v>299</v>
      </c>
      <c r="M323" s="133"/>
      <c r="N323" s="133"/>
      <c r="O323" s="133"/>
      <c r="P323" s="134"/>
      <c r="Q323" s="134"/>
      <c r="R323" s="134"/>
    </row>
    <row r="324" ht="15.75">
      <c r="A324" s="1" t="s">
        <v>17</v>
      </c>
    </row>
    <row r="325" ht="15.75">
      <c r="A325" s="1"/>
    </row>
    <row r="326" ht="15.75">
      <c r="A326" s="1"/>
    </row>
    <row r="327" ht="15.75">
      <c r="A327" s="1" t="s">
        <v>288</v>
      </c>
    </row>
  </sheetData>
  <sheetProtection/>
  <mergeCells count="879">
    <mergeCell ref="H323:K323"/>
    <mergeCell ref="I320:L320"/>
    <mergeCell ref="L323:O323"/>
    <mergeCell ref="R295:R296"/>
    <mergeCell ref="P295:P296"/>
    <mergeCell ref="H22:H34"/>
    <mergeCell ref="AR295:AR296"/>
    <mergeCell ref="AG219:AG223"/>
    <mergeCell ref="AG225:AG239"/>
    <mergeCell ref="AG241:AG242"/>
    <mergeCell ref="AG246:AG248"/>
    <mergeCell ref="AG258:AG262"/>
    <mergeCell ref="AU295:AU296"/>
    <mergeCell ref="AV295:AV296"/>
    <mergeCell ref="AA295:AA296"/>
    <mergeCell ref="X295:X296"/>
    <mergeCell ref="AG304:AG308"/>
    <mergeCell ref="AG301:AG302"/>
    <mergeCell ref="AC295:AC296"/>
    <mergeCell ref="AC298:AC299"/>
    <mergeCell ref="Z295:Z296"/>
    <mergeCell ref="Y298:Y299"/>
    <mergeCell ref="AJ295:AJ296"/>
    <mergeCell ref="AG267:AG270"/>
    <mergeCell ref="AG274:AG276"/>
    <mergeCell ref="AG284:AG287"/>
    <mergeCell ref="AG289:AG293"/>
    <mergeCell ref="AG295:AG296"/>
    <mergeCell ref="AG202:AG212"/>
    <mergeCell ref="AG215:AG216"/>
    <mergeCell ref="AG213:AG214"/>
    <mergeCell ref="AG200:AG201"/>
    <mergeCell ref="AG316:AG317"/>
    <mergeCell ref="AB295:AB296"/>
    <mergeCell ref="AD295:AD296"/>
    <mergeCell ref="AE295:AE296"/>
    <mergeCell ref="AG149:AG151"/>
    <mergeCell ref="AG153:AG154"/>
    <mergeCell ref="AG156:AG157"/>
    <mergeCell ref="AG159:AG164"/>
    <mergeCell ref="AG250:AG256"/>
    <mergeCell ref="AG193:AG199"/>
    <mergeCell ref="AG166:AG172"/>
    <mergeCell ref="AG174:AG181"/>
    <mergeCell ref="AG183:AG185"/>
    <mergeCell ref="AG187:AG189"/>
    <mergeCell ref="AF67:AF69"/>
    <mergeCell ref="AG67:AG69"/>
    <mergeCell ref="AG77:AG78"/>
    <mergeCell ref="AG80:AG115"/>
    <mergeCell ref="AG117:AG118"/>
    <mergeCell ref="AG120:AG125"/>
    <mergeCell ref="AF77:AF78"/>
    <mergeCell ref="AF106:AF112"/>
    <mergeCell ref="AF113:AF115"/>
    <mergeCell ref="AF71:AF72"/>
    <mergeCell ref="AG272:AG273"/>
    <mergeCell ref="AG22:AG26"/>
    <mergeCell ref="AG27:AG32"/>
    <mergeCell ref="AG36:AG45"/>
    <mergeCell ref="AG47:AG49"/>
    <mergeCell ref="AG51:AG53"/>
    <mergeCell ref="AG56:AG65"/>
    <mergeCell ref="AG130:AG137"/>
    <mergeCell ref="AG139:AG143"/>
    <mergeCell ref="AG145:AG147"/>
    <mergeCell ref="AF22:AF31"/>
    <mergeCell ref="AF32:AF34"/>
    <mergeCell ref="AF36:AF42"/>
    <mergeCell ref="AF43:AF45"/>
    <mergeCell ref="AF47:AF49"/>
    <mergeCell ref="AF51:AF53"/>
    <mergeCell ref="AH15:AH17"/>
    <mergeCell ref="AI15:AI17"/>
    <mergeCell ref="AJ15:AJ17"/>
    <mergeCell ref="AQ15:AQ17"/>
    <mergeCell ref="AR15:AR17"/>
    <mergeCell ref="AN22:AN23"/>
    <mergeCell ref="AP22:AP23"/>
    <mergeCell ref="AQ22:AQ23"/>
    <mergeCell ref="AS15:AS17"/>
    <mergeCell ref="AM14:AM17"/>
    <mergeCell ref="AN14:AN17"/>
    <mergeCell ref="AO14:AO17"/>
    <mergeCell ref="AP14:AP17"/>
    <mergeCell ref="AQ14:AS14"/>
    <mergeCell ref="AT14:AV14"/>
    <mergeCell ref="AT15:AT17"/>
    <mergeCell ref="AU15:AU17"/>
    <mergeCell ref="AV15:AV17"/>
    <mergeCell ref="AF11:AF17"/>
    <mergeCell ref="AG11:AG17"/>
    <mergeCell ref="AH11:AV11"/>
    <mergeCell ref="AH12:AJ13"/>
    <mergeCell ref="AK12:AM13"/>
    <mergeCell ref="AN12:AP13"/>
    <mergeCell ref="AQ12:AV13"/>
    <mergeCell ref="AH14:AJ14"/>
    <mergeCell ref="AK14:AK17"/>
    <mergeCell ref="AL14:AL17"/>
    <mergeCell ref="K191:K192"/>
    <mergeCell ref="M191:M192"/>
    <mergeCell ref="N22:N23"/>
    <mergeCell ref="Y22:Y23"/>
    <mergeCell ref="K27:K31"/>
    <mergeCell ref="AH127:AH128"/>
    <mergeCell ref="K200:K201"/>
    <mergeCell ref="L200:L201"/>
    <mergeCell ref="M200:M201"/>
    <mergeCell ref="K193:K199"/>
    <mergeCell ref="L193:L199"/>
    <mergeCell ref="M193:M199"/>
    <mergeCell ref="K202:K216"/>
    <mergeCell ref="L202:L216"/>
    <mergeCell ref="C22:C23"/>
    <mergeCell ref="K22:K26"/>
    <mergeCell ref="L22:L26"/>
    <mergeCell ref="M22:M26"/>
    <mergeCell ref="L27:L31"/>
    <mergeCell ref="K36:K45"/>
    <mergeCell ref="L36:L45"/>
    <mergeCell ref="M36:M45"/>
    <mergeCell ref="D22:D23"/>
    <mergeCell ref="AD14:AD17"/>
    <mergeCell ref="M33:M34"/>
    <mergeCell ref="L33:L34"/>
    <mergeCell ref="K33:K34"/>
    <mergeCell ref="AB22:AB23"/>
    <mergeCell ref="P14:P17"/>
    <mergeCell ref="P22:P23"/>
    <mergeCell ref="J22:J34"/>
    <mergeCell ref="G22:G34"/>
    <mergeCell ref="F22:F34"/>
    <mergeCell ref="E22:E34"/>
    <mergeCell ref="AA14:AA17"/>
    <mergeCell ref="AE14:AE17"/>
    <mergeCell ref="M27:M31"/>
    <mergeCell ref="O22:O23"/>
    <mergeCell ref="W22:W23"/>
    <mergeCell ref="V22:V23"/>
    <mergeCell ref="T22:T23"/>
    <mergeCell ref="AC14:AC17"/>
    <mergeCell ref="AC22:AC23"/>
    <mergeCell ref="Z22:Z23"/>
    <mergeCell ref="N153:N154"/>
    <mergeCell ref="AC74:AC75"/>
    <mergeCell ref="T74:T75"/>
    <mergeCell ref="T71:T72"/>
    <mergeCell ref="Y74:Y75"/>
    <mergeCell ref="Y71:Y72"/>
    <mergeCell ref="Z127:Z128"/>
    <mergeCell ref="AC127:AC128"/>
    <mergeCell ref="Z241:Z242"/>
    <mergeCell ref="Y241:Y242"/>
    <mergeCell ref="W241:W242"/>
    <mergeCell ref="O241:O242"/>
    <mergeCell ref="Q13:S13"/>
    <mergeCell ref="T153:T154"/>
    <mergeCell ref="O153:O154"/>
    <mergeCell ref="Z13:AB13"/>
    <mergeCell ref="Y13:Y17"/>
    <mergeCell ref="X13:X17"/>
    <mergeCell ref="W313:W314"/>
    <mergeCell ref="O310:O311"/>
    <mergeCell ref="N310:N311"/>
    <mergeCell ref="AC281:AC282"/>
    <mergeCell ref="Z281:Z282"/>
    <mergeCell ref="Y281:Y282"/>
    <mergeCell ref="O281:O282"/>
    <mergeCell ref="N281:N282"/>
    <mergeCell ref="U295:U296"/>
    <mergeCell ref="S295:S296"/>
    <mergeCell ref="N241:N242"/>
    <mergeCell ref="V241:V242"/>
    <mergeCell ref="AF258:AF262"/>
    <mergeCell ref="AH241:AH242"/>
    <mergeCell ref="E191:E216"/>
    <mergeCell ref="F191:F216"/>
    <mergeCell ref="G191:G216"/>
    <mergeCell ref="H191:H216"/>
    <mergeCell ref="I191:I216"/>
    <mergeCell ref="J191:J216"/>
    <mergeCell ref="F258:F262"/>
    <mergeCell ref="E258:E262"/>
    <mergeCell ref="F267:F270"/>
    <mergeCell ref="E267:E270"/>
    <mergeCell ref="M219:M223"/>
    <mergeCell ref="M225:M239"/>
    <mergeCell ref="H267:H270"/>
    <mergeCell ref="J267:J270"/>
    <mergeCell ref="M250:M256"/>
    <mergeCell ref="M267:M270"/>
    <mergeCell ref="I267:I270"/>
    <mergeCell ref="G267:G270"/>
    <mergeCell ref="K258:K262"/>
    <mergeCell ref="L267:L270"/>
    <mergeCell ref="H258:H262"/>
    <mergeCell ref="G258:G262"/>
    <mergeCell ref="E250:E256"/>
    <mergeCell ref="F250:F256"/>
    <mergeCell ref="G250:G256"/>
    <mergeCell ref="H250:H256"/>
    <mergeCell ref="I250:I256"/>
    <mergeCell ref="J250:J256"/>
    <mergeCell ref="A241:A242"/>
    <mergeCell ref="B241:B242"/>
    <mergeCell ref="E241:E242"/>
    <mergeCell ref="C241:C242"/>
    <mergeCell ref="D241:D242"/>
    <mergeCell ref="F246:F248"/>
    <mergeCell ref="A246:A248"/>
    <mergeCell ref="F241:F242"/>
    <mergeCell ref="E246:E248"/>
    <mergeCell ref="A219:A223"/>
    <mergeCell ref="J219:J223"/>
    <mergeCell ref="F225:F239"/>
    <mergeCell ref="E225:E239"/>
    <mergeCell ref="B225:B239"/>
    <mergeCell ref="A225:A239"/>
    <mergeCell ref="B219:B223"/>
    <mergeCell ref="G225:G239"/>
    <mergeCell ref="E36:E45"/>
    <mergeCell ref="F36:F45"/>
    <mergeCell ref="G47:G49"/>
    <mergeCell ref="H47:H49"/>
    <mergeCell ref="I47:I49"/>
    <mergeCell ref="J47:J49"/>
    <mergeCell ref="G36:G45"/>
    <mergeCell ref="H36:H45"/>
    <mergeCell ref="J36:J45"/>
    <mergeCell ref="F47:F49"/>
    <mergeCell ref="F51:F54"/>
    <mergeCell ref="G51:G54"/>
    <mergeCell ref="B267:B270"/>
    <mergeCell ref="L47:L49"/>
    <mergeCell ref="J183:J185"/>
    <mergeCell ref="B191:B216"/>
    <mergeCell ref="L219:L223"/>
    <mergeCell ref="J225:J239"/>
    <mergeCell ref="I225:I239"/>
    <mergeCell ref="E51:E54"/>
    <mergeCell ref="A183:A185"/>
    <mergeCell ref="B246:B248"/>
    <mergeCell ref="K225:K239"/>
    <mergeCell ref="B183:B185"/>
    <mergeCell ref="E47:E49"/>
    <mergeCell ref="A192:A216"/>
    <mergeCell ref="I219:I223"/>
    <mergeCell ref="G219:G223"/>
    <mergeCell ref="K219:K223"/>
    <mergeCell ref="K241:K242"/>
    <mergeCell ref="A2:AE2"/>
    <mergeCell ref="A3:AE3"/>
    <mergeCell ref="A4:AE4"/>
    <mergeCell ref="A5:AE5"/>
    <mergeCell ref="A7:AE7"/>
    <mergeCell ref="B310:B311"/>
    <mergeCell ref="B289:B293"/>
    <mergeCell ref="A289:A293"/>
    <mergeCell ref="A301:A302"/>
    <mergeCell ref="A298:A299"/>
    <mergeCell ref="I316:I317"/>
    <mergeCell ref="J316:J317"/>
    <mergeCell ref="K316:K317"/>
    <mergeCell ref="E183:E185"/>
    <mergeCell ref="F183:F185"/>
    <mergeCell ref="H183:H185"/>
    <mergeCell ref="I183:I185"/>
    <mergeCell ref="G316:G317"/>
    <mergeCell ref="H316:H317"/>
    <mergeCell ref="H225:H239"/>
    <mergeCell ref="M47:M49"/>
    <mergeCell ref="C310:C311"/>
    <mergeCell ref="A313:A314"/>
    <mergeCell ref="I36:I45"/>
    <mergeCell ref="S14:S17"/>
    <mergeCell ref="R14:R17"/>
    <mergeCell ref="Q14:Q17"/>
    <mergeCell ref="B298:B299"/>
    <mergeCell ref="A267:A270"/>
    <mergeCell ref="A284:A287"/>
    <mergeCell ref="B272:B276"/>
    <mergeCell ref="A272:A276"/>
    <mergeCell ref="A316:A317"/>
    <mergeCell ref="B316:B317"/>
    <mergeCell ref="E316:E317"/>
    <mergeCell ref="F316:F317"/>
    <mergeCell ref="D313:D314"/>
    <mergeCell ref="D310:D311"/>
    <mergeCell ref="E284:E287"/>
    <mergeCell ref="B301:B302"/>
    <mergeCell ref="AC313:AC314"/>
    <mergeCell ref="E313:E314"/>
    <mergeCell ref="F313:F314"/>
    <mergeCell ref="G313:G314"/>
    <mergeCell ref="H313:H314"/>
    <mergeCell ref="L241:L242"/>
    <mergeCell ref="I304:I308"/>
    <mergeCell ref="E298:E299"/>
    <mergeCell ref="Q295:Q296"/>
    <mergeCell ref="O295:O296"/>
    <mergeCell ref="L191:L192"/>
    <mergeCell ref="L225:L239"/>
    <mergeCell ref="F219:F223"/>
    <mergeCell ref="Z313:Z314"/>
    <mergeCell ref="Y313:Y314"/>
    <mergeCell ref="V313:V314"/>
    <mergeCell ref="O313:O314"/>
    <mergeCell ref="N313:N314"/>
    <mergeCell ref="T313:T314"/>
    <mergeCell ref="K304:K308"/>
    <mergeCell ref="A304:A308"/>
    <mergeCell ref="B304:B308"/>
    <mergeCell ref="C313:C314"/>
    <mergeCell ref="I313:I314"/>
    <mergeCell ref="J313:J314"/>
    <mergeCell ref="K313:K314"/>
    <mergeCell ref="E304:E308"/>
    <mergeCell ref="F304:F308"/>
    <mergeCell ref="G304:G308"/>
    <mergeCell ref="H304:H308"/>
    <mergeCell ref="J304:J308"/>
    <mergeCell ref="H301:H302"/>
    <mergeCell ref="E301:E302"/>
    <mergeCell ref="F301:F302"/>
    <mergeCell ref="G301:G302"/>
    <mergeCell ref="I301:I302"/>
    <mergeCell ref="J301:J302"/>
    <mergeCell ref="K301:K302"/>
    <mergeCell ref="C298:C299"/>
    <mergeCell ref="D298:D299"/>
    <mergeCell ref="N298:N299"/>
    <mergeCell ref="L301:L302"/>
    <mergeCell ref="M301:M302"/>
    <mergeCell ref="K289:K293"/>
    <mergeCell ref="E289:E293"/>
    <mergeCell ref="F289:F293"/>
    <mergeCell ref="G289:G293"/>
    <mergeCell ref="N295:N296"/>
    <mergeCell ref="J295:J296"/>
    <mergeCell ref="G284:G287"/>
    <mergeCell ref="H289:H293"/>
    <mergeCell ref="I289:I293"/>
    <mergeCell ref="J289:J293"/>
    <mergeCell ref="A295:A296"/>
    <mergeCell ref="H295:H296"/>
    <mergeCell ref="B295:B296"/>
    <mergeCell ref="E295:E296"/>
    <mergeCell ref="F295:F296"/>
    <mergeCell ref="G295:G296"/>
    <mergeCell ref="L304:L308"/>
    <mergeCell ref="M304:M308"/>
    <mergeCell ref="D295:D296"/>
    <mergeCell ref="A281:A282"/>
    <mergeCell ref="B281:B282"/>
    <mergeCell ref="E281:E282"/>
    <mergeCell ref="F281:F282"/>
    <mergeCell ref="G281:G282"/>
    <mergeCell ref="F284:F287"/>
    <mergeCell ref="B284:B287"/>
    <mergeCell ref="L273:L276"/>
    <mergeCell ref="K273:K276"/>
    <mergeCell ref="H281:H282"/>
    <mergeCell ref="D281:D282"/>
    <mergeCell ref="C281:C282"/>
    <mergeCell ref="I272:I276"/>
    <mergeCell ref="I281:I282"/>
    <mergeCell ref="J281:J282"/>
    <mergeCell ref="K281:K282"/>
    <mergeCell ref="C74:C75"/>
    <mergeCell ref="I77:I78"/>
    <mergeCell ref="J77:J78"/>
    <mergeCell ref="I80:I115"/>
    <mergeCell ref="G77:G78"/>
    <mergeCell ref="E219:E223"/>
    <mergeCell ref="H219:H223"/>
    <mergeCell ref="G117:G118"/>
    <mergeCell ref="H117:H118"/>
    <mergeCell ref="E130:E137"/>
    <mergeCell ref="J51:J54"/>
    <mergeCell ref="K12:M13"/>
    <mergeCell ref="E74:E75"/>
    <mergeCell ref="K183:K185"/>
    <mergeCell ref="L183:L185"/>
    <mergeCell ref="M183:M185"/>
    <mergeCell ref="E174:E181"/>
    <mergeCell ref="F174:F181"/>
    <mergeCell ref="J156:J157"/>
    <mergeCell ref="L145:L147"/>
    <mergeCell ref="Z14:Z17"/>
    <mergeCell ref="E11:M11"/>
    <mergeCell ref="L51:L54"/>
    <mergeCell ref="M51:M54"/>
    <mergeCell ref="H14:H17"/>
    <mergeCell ref="L14:L17"/>
    <mergeCell ref="H12:J13"/>
    <mergeCell ref="K47:K49"/>
    <mergeCell ref="H51:H54"/>
    <mergeCell ref="I51:I54"/>
    <mergeCell ref="G14:G17"/>
    <mergeCell ref="I22:I34"/>
    <mergeCell ref="K14:K17"/>
    <mergeCell ref="N11:AE11"/>
    <mergeCell ref="E14:E17"/>
    <mergeCell ref="M14:M17"/>
    <mergeCell ref="N14:N17"/>
    <mergeCell ref="O14:O17"/>
    <mergeCell ref="AB14:AB17"/>
    <mergeCell ref="W13:W17"/>
    <mergeCell ref="A74:A75"/>
    <mergeCell ref="A56:A65"/>
    <mergeCell ref="I14:I17"/>
    <mergeCell ref="J14:J17"/>
    <mergeCell ref="A11:A17"/>
    <mergeCell ref="B11:B17"/>
    <mergeCell ref="B22:B34"/>
    <mergeCell ref="A23:A34"/>
    <mergeCell ref="E12:G13"/>
    <mergeCell ref="F14:F17"/>
    <mergeCell ref="B145:B147"/>
    <mergeCell ref="A139:A143"/>
    <mergeCell ref="B56:B65"/>
    <mergeCell ref="B36:B45"/>
    <mergeCell ref="A47:A49"/>
    <mergeCell ref="A36:A45"/>
    <mergeCell ref="B74:B75"/>
    <mergeCell ref="A127:A128"/>
    <mergeCell ref="B51:B54"/>
    <mergeCell ref="A51:A54"/>
    <mergeCell ref="A153:A154"/>
    <mergeCell ref="B117:B118"/>
    <mergeCell ref="B120:B125"/>
    <mergeCell ref="A145:A147"/>
    <mergeCell ref="B130:B137"/>
    <mergeCell ref="B47:B49"/>
    <mergeCell ref="B80:B115"/>
    <mergeCell ref="A77:A78"/>
    <mergeCell ref="B149:B151"/>
    <mergeCell ref="A149:A151"/>
    <mergeCell ref="B166:B172"/>
    <mergeCell ref="B153:B154"/>
    <mergeCell ref="B159:B164"/>
    <mergeCell ref="A258:A262"/>
    <mergeCell ref="A67:A69"/>
    <mergeCell ref="A117:A118"/>
    <mergeCell ref="A250:A256"/>
    <mergeCell ref="B250:B256"/>
    <mergeCell ref="B67:B69"/>
    <mergeCell ref="B77:B78"/>
    <mergeCell ref="C71:C72"/>
    <mergeCell ref="A71:A72"/>
    <mergeCell ref="B71:B72"/>
    <mergeCell ref="A166:A172"/>
    <mergeCell ref="A80:A115"/>
    <mergeCell ref="B174:B181"/>
    <mergeCell ref="A174:A181"/>
    <mergeCell ref="A120:A125"/>
    <mergeCell ref="A130:A137"/>
    <mergeCell ref="A159:A164"/>
    <mergeCell ref="B156:B157"/>
    <mergeCell ref="K246:K248"/>
    <mergeCell ref="J246:J248"/>
    <mergeCell ref="A156:A157"/>
    <mergeCell ref="K51:K54"/>
    <mergeCell ref="K120:K125"/>
    <mergeCell ref="J80:J115"/>
    <mergeCell ref="H156:H157"/>
    <mergeCell ref="I156:I157"/>
    <mergeCell ref="K153:K154"/>
    <mergeCell ref="B139:B143"/>
    <mergeCell ref="H139:H143"/>
    <mergeCell ref="I139:I143"/>
    <mergeCell ref="J139:J143"/>
    <mergeCell ref="E139:E143"/>
    <mergeCell ref="F139:F143"/>
    <mergeCell ref="B258:B262"/>
    <mergeCell ref="J272:J276"/>
    <mergeCell ref="H241:H242"/>
    <mergeCell ref="M241:M242"/>
    <mergeCell ref="L258:L262"/>
    <mergeCell ref="M258:M262"/>
    <mergeCell ref="I241:I242"/>
    <mergeCell ref="J241:J242"/>
    <mergeCell ref="K267:K270"/>
    <mergeCell ref="L250:L256"/>
    <mergeCell ref="I67:I69"/>
    <mergeCell ref="H67:H69"/>
    <mergeCell ref="G67:G69"/>
    <mergeCell ref="I246:I248"/>
    <mergeCell ref="H246:H248"/>
    <mergeCell ref="I117:I118"/>
    <mergeCell ref="G80:G115"/>
    <mergeCell ref="G71:G72"/>
    <mergeCell ref="H71:H72"/>
    <mergeCell ref="F67:F69"/>
    <mergeCell ref="E67:E69"/>
    <mergeCell ref="F130:F137"/>
    <mergeCell ref="G246:G248"/>
    <mergeCell ref="G241:G242"/>
    <mergeCell ref="F120:F125"/>
    <mergeCell ref="I71:I72"/>
    <mergeCell ref="L67:L69"/>
    <mergeCell ref="D74:D75"/>
    <mergeCell ref="F74:F75"/>
    <mergeCell ref="G74:G75"/>
    <mergeCell ref="H74:H75"/>
    <mergeCell ref="I74:I75"/>
    <mergeCell ref="D71:D72"/>
    <mergeCell ref="E71:E72"/>
    <mergeCell ref="F71:F72"/>
    <mergeCell ref="C127:C128"/>
    <mergeCell ref="D127:D128"/>
    <mergeCell ref="H77:H78"/>
    <mergeCell ref="H80:H115"/>
    <mergeCell ref="E80:E115"/>
    <mergeCell ref="F77:F78"/>
    <mergeCell ref="E77:E78"/>
    <mergeCell ref="F80:F115"/>
    <mergeCell ref="E117:E118"/>
    <mergeCell ref="F117:F118"/>
    <mergeCell ref="I120:I125"/>
    <mergeCell ref="L120:L125"/>
    <mergeCell ref="E120:E125"/>
    <mergeCell ref="G120:G125"/>
    <mergeCell ref="H120:H125"/>
    <mergeCell ref="J117:J118"/>
    <mergeCell ref="G130:G137"/>
    <mergeCell ref="H130:H137"/>
    <mergeCell ref="I130:I137"/>
    <mergeCell ref="J130:J137"/>
    <mergeCell ref="I284:I287"/>
    <mergeCell ref="J153:J154"/>
    <mergeCell ref="G149:G151"/>
    <mergeCell ref="H149:H151"/>
    <mergeCell ref="I149:I151"/>
    <mergeCell ref="G139:G143"/>
    <mergeCell ref="J174:J181"/>
    <mergeCell ref="H284:H287"/>
    <mergeCell ref="J258:J262"/>
    <mergeCell ref="I258:I262"/>
    <mergeCell ref="AE22:AE23"/>
    <mergeCell ref="K145:K147"/>
    <mergeCell ref="L246:L248"/>
    <mergeCell ref="U153:U154"/>
    <mergeCell ref="K156:K157"/>
    <mergeCell ref="Z156:Z157"/>
    <mergeCell ref="AC71:AC72"/>
    <mergeCell ref="W74:W75"/>
    <mergeCell ref="M145:M147"/>
    <mergeCell ref="L149:L151"/>
    <mergeCell ref="M149:M151"/>
    <mergeCell ref="Y127:Y128"/>
    <mergeCell ref="T127:T128"/>
    <mergeCell ref="W127:W128"/>
    <mergeCell ref="M95:M115"/>
    <mergeCell ref="N71:N72"/>
    <mergeCell ref="O71:O72"/>
    <mergeCell ref="V74:V75"/>
    <mergeCell ref="Z71:Z72"/>
    <mergeCell ref="N74:N75"/>
    <mergeCell ref="O74:O75"/>
    <mergeCell ref="V71:V72"/>
    <mergeCell ref="W71:W72"/>
    <mergeCell ref="I153:I154"/>
    <mergeCell ref="W153:W154"/>
    <mergeCell ref="J145:J147"/>
    <mergeCell ref="L153:L154"/>
    <mergeCell ref="M153:M154"/>
    <mergeCell ref="AF74:AF75"/>
    <mergeCell ref="Z74:Z75"/>
    <mergeCell ref="K149:K151"/>
    <mergeCell ref="K74:K75"/>
    <mergeCell ref="K117:K118"/>
    <mergeCell ref="F156:F157"/>
    <mergeCell ref="G156:G157"/>
    <mergeCell ref="E145:E147"/>
    <mergeCell ref="F145:F147"/>
    <mergeCell ref="G145:G147"/>
    <mergeCell ref="AF56:AF65"/>
    <mergeCell ref="H145:H147"/>
    <mergeCell ref="I145:I147"/>
    <mergeCell ref="G153:G154"/>
    <mergeCell ref="H153:H154"/>
    <mergeCell ref="J149:J151"/>
    <mergeCell ref="F153:F154"/>
    <mergeCell ref="C156:C157"/>
    <mergeCell ref="C153:C154"/>
    <mergeCell ref="D153:D154"/>
    <mergeCell ref="D156:D157"/>
    <mergeCell ref="E156:E157"/>
    <mergeCell ref="E149:E151"/>
    <mergeCell ref="F149:F151"/>
    <mergeCell ref="E153:E154"/>
    <mergeCell ref="V295:V296"/>
    <mergeCell ref="Y295:Y296"/>
    <mergeCell ref="Z298:Z299"/>
    <mergeCell ref="AC310:AC311"/>
    <mergeCell ref="T298:T299"/>
    <mergeCell ref="Z310:Z311"/>
    <mergeCell ref="Y310:Y311"/>
    <mergeCell ref="W310:W311"/>
    <mergeCell ref="V310:V311"/>
    <mergeCell ref="T310:T311"/>
    <mergeCell ref="W281:W282"/>
    <mergeCell ref="W295:W296"/>
    <mergeCell ref="W298:W299"/>
    <mergeCell ref="M246:M248"/>
    <mergeCell ref="V281:V282"/>
    <mergeCell ref="T281:T282"/>
    <mergeCell ref="T295:T296"/>
    <mergeCell ref="V298:V299"/>
    <mergeCell ref="M273:M276"/>
    <mergeCell ref="O298:O299"/>
    <mergeCell ref="AF149:AF151"/>
    <mergeCell ref="P153:P154"/>
    <mergeCell ref="P156:P157"/>
    <mergeCell ref="AF250:AF256"/>
    <mergeCell ref="T156:T157"/>
    <mergeCell ref="Y153:Y154"/>
    <mergeCell ref="V153:V154"/>
    <mergeCell ref="AC153:AC154"/>
    <mergeCell ref="T241:T242"/>
    <mergeCell ref="AC241:AC242"/>
    <mergeCell ref="F159:F164"/>
    <mergeCell ref="G159:G164"/>
    <mergeCell ref="H159:H164"/>
    <mergeCell ref="I159:I164"/>
    <mergeCell ref="G174:G181"/>
    <mergeCell ref="H174:H181"/>
    <mergeCell ref="I174:I181"/>
    <mergeCell ref="G166:G172"/>
    <mergeCell ref="I166:I172"/>
    <mergeCell ref="E159:E164"/>
    <mergeCell ref="L174:L181"/>
    <mergeCell ref="M174:M181"/>
    <mergeCell ref="E272:E276"/>
    <mergeCell ref="F272:F276"/>
    <mergeCell ref="G272:G276"/>
    <mergeCell ref="H272:H276"/>
    <mergeCell ref="H166:H172"/>
    <mergeCell ref="J166:J172"/>
    <mergeCell ref="G183:G185"/>
    <mergeCell ref="E166:E172"/>
    <mergeCell ref="F166:F172"/>
    <mergeCell ref="L289:L293"/>
    <mergeCell ref="M289:M293"/>
    <mergeCell ref="K295:K296"/>
    <mergeCell ref="L295:L296"/>
    <mergeCell ref="M295:M296"/>
    <mergeCell ref="L284:L287"/>
    <mergeCell ref="M284:M287"/>
    <mergeCell ref="I295:I296"/>
    <mergeCell ref="J284:J287"/>
    <mergeCell ref="K284:K287"/>
    <mergeCell ref="K159:K164"/>
    <mergeCell ref="N12:S12"/>
    <mergeCell ref="N13:P13"/>
    <mergeCell ref="K174:K181"/>
    <mergeCell ref="K250:K256"/>
    <mergeCell ref="M202:M216"/>
    <mergeCell ref="M120:M125"/>
    <mergeCell ref="L166:L171"/>
    <mergeCell ref="T12:V12"/>
    <mergeCell ref="T13:T17"/>
    <mergeCell ref="U13:U17"/>
    <mergeCell ref="V13:V17"/>
    <mergeCell ref="Z153:Z154"/>
    <mergeCell ref="W156:W157"/>
    <mergeCell ref="V127:V128"/>
    <mergeCell ref="Z12:AE12"/>
    <mergeCell ref="W12:Y12"/>
    <mergeCell ref="AC13:AE13"/>
    <mergeCell ref="Y156:Y157"/>
    <mergeCell ref="Q153:Q154"/>
    <mergeCell ref="K166:K171"/>
    <mergeCell ref="O156:O157"/>
    <mergeCell ref="N156:N157"/>
    <mergeCell ref="L156:L157"/>
    <mergeCell ref="M156:M157"/>
    <mergeCell ref="M166:M171"/>
    <mergeCell ref="K139:K143"/>
    <mergeCell ref="K71:K72"/>
    <mergeCell ref="K95:K115"/>
    <mergeCell ref="L95:L115"/>
    <mergeCell ref="J120:J125"/>
    <mergeCell ref="L56:L65"/>
    <mergeCell ref="K67:K69"/>
    <mergeCell ref="J74:J75"/>
    <mergeCell ref="J67:J69"/>
    <mergeCell ref="J71:J72"/>
    <mergeCell ref="L316:L317"/>
    <mergeCell ref="M316:M317"/>
    <mergeCell ref="L80:L91"/>
    <mergeCell ref="M80:M91"/>
    <mergeCell ref="K80:K91"/>
    <mergeCell ref="K130:K137"/>
    <mergeCell ref="L130:L137"/>
    <mergeCell ref="M130:M137"/>
    <mergeCell ref="L139:L143"/>
    <mergeCell ref="M139:M143"/>
    <mergeCell ref="AF88:AF89"/>
    <mergeCell ref="AF90:AF91"/>
    <mergeCell ref="AF92:AF93"/>
    <mergeCell ref="AF94:AF96"/>
    <mergeCell ref="AF99:AF105"/>
    <mergeCell ref="AF191:AF216"/>
    <mergeCell ref="AF122:AF125"/>
    <mergeCell ref="AF130:AF133"/>
    <mergeCell ref="AF139:AF143"/>
    <mergeCell ref="AF145:AF147"/>
    <mergeCell ref="AF159:AF165"/>
    <mergeCell ref="AF166:AF172"/>
    <mergeCell ref="AF174:AF181"/>
    <mergeCell ref="AF183:AF185"/>
    <mergeCell ref="AF246:AF248"/>
    <mergeCell ref="C295:C296"/>
    <mergeCell ref="AF225:AF239"/>
    <mergeCell ref="L159:L164"/>
    <mergeCell ref="M159:M164"/>
    <mergeCell ref="J159:J164"/>
    <mergeCell ref="AF267:AF270"/>
    <mergeCell ref="AF272:AF276"/>
    <mergeCell ref="AF284:AF287"/>
    <mergeCell ref="AF289:AF293"/>
    <mergeCell ref="AF295:AF296"/>
    <mergeCell ref="AF301:AF302"/>
    <mergeCell ref="AF304:AF308"/>
    <mergeCell ref="AF316:AF317"/>
    <mergeCell ref="AH22:AH23"/>
    <mergeCell ref="AI22:AI23"/>
    <mergeCell ref="AJ22:AJ23"/>
    <mergeCell ref="AH71:AH72"/>
    <mergeCell ref="AI71:AI72"/>
    <mergeCell ref="AH74:AH75"/>
    <mergeCell ref="AI74:AI75"/>
    <mergeCell ref="AI127:AI128"/>
    <mergeCell ref="AH153:AH154"/>
    <mergeCell ref="AI153:AI154"/>
    <mergeCell ref="AJ153:AJ154"/>
    <mergeCell ref="AH156:AH157"/>
    <mergeCell ref="AI156:AI157"/>
    <mergeCell ref="AJ156:AJ157"/>
    <mergeCell ref="AH281:AH282"/>
    <mergeCell ref="AI281:AI282"/>
    <mergeCell ref="AH295:AH296"/>
    <mergeCell ref="AI295:AI296"/>
    <mergeCell ref="AH298:AH299"/>
    <mergeCell ref="AI298:AI299"/>
    <mergeCell ref="AH310:AH311"/>
    <mergeCell ref="AI310:AI311"/>
    <mergeCell ref="AH313:AH314"/>
    <mergeCell ref="AI313:AI314"/>
    <mergeCell ref="AK22:AK23"/>
    <mergeCell ref="AM22:AM23"/>
    <mergeCell ref="AK74:AK75"/>
    <mergeCell ref="AM74:AM75"/>
    <mergeCell ref="AK153:AK154"/>
    <mergeCell ref="AL153:AL154"/>
    <mergeCell ref="AS22:AS23"/>
    <mergeCell ref="AT22:AT23"/>
    <mergeCell ref="AV22:AV23"/>
    <mergeCell ref="AK71:AK72"/>
    <mergeCell ref="AM71:AM72"/>
    <mergeCell ref="AN71:AN72"/>
    <mergeCell ref="AP71:AP72"/>
    <mergeCell ref="AQ71:AQ72"/>
    <mergeCell ref="AT71:AT72"/>
    <mergeCell ref="AN74:AN75"/>
    <mergeCell ref="AP74:AP75"/>
    <mergeCell ref="AQ74:AQ75"/>
    <mergeCell ref="AT74:AT75"/>
    <mergeCell ref="AK127:AK128"/>
    <mergeCell ref="AM127:AM128"/>
    <mergeCell ref="AN127:AN128"/>
    <mergeCell ref="AP127:AP128"/>
    <mergeCell ref="AQ127:AQ128"/>
    <mergeCell ref="AT127:AT128"/>
    <mergeCell ref="AN153:AN154"/>
    <mergeCell ref="AP153:AP154"/>
    <mergeCell ref="AQ153:AQ154"/>
    <mergeCell ref="AT153:AT154"/>
    <mergeCell ref="AK156:AK157"/>
    <mergeCell ref="AM156:AM157"/>
    <mergeCell ref="AN156:AN157"/>
    <mergeCell ref="AP156:AP157"/>
    <mergeCell ref="AQ156:AQ157"/>
    <mergeCell ref="AT156:AT157"/>
    <mergeCell ref="AK241:AK242"/>
    <mergeCell ref="AM241:AM242"/>
    <mergeCell ref="AN241:AN242"/>
    <mergeCell ref="AP241:AP242"/>
    <mergeCell ref="AQ241:AQ242"/>
    <mergeCell ref="AT241:AT242"/>
    <mergeCell ref="AR241:AR242"/>
    <mergeCell ref="AS241:AS242"/>
    <mergeCell ref="AS156:AS157"/>
    <mergeCell ref="AK281:AK282"/>
    <mergeCell ref="AM281:AM282"/>
    <mergeCell ref="AN281:AN282"/>
    <mergeCell ref="AP281:AP282"/>
    <mergeCell ref="AQ281:AQ282"/>
    <mergeCell ref="AT281:AT282"/>
    <mergeCell ref="AT298:AT299"/>
    <mergeCell ref="AK295:AK296"/>
    <mergeCell ref="AM295:AM296"/>
    <mergeCell ref="AN295:AN296"/>
    <mergeCell ref="AP295:AP296"/>
    <mergeCell ref="AQ295:AQ296"/>
    <mergeCell ref="AT295:AT296"/>
    <mergeCell ref="AL295:AL296"/>
    <mergeCell ref="AO295:AO296"/>
    <mergeCell ref="AS295:AS296"/>
    <mergeCell ref="AT313:AT314"/>
    <mergeCell ref="AK310:AK311"/>
    <mergeCell ref="AM310:AM311"/>
    <mergeCell ref="AN310:AN311"/>
    <mergeCell ref="AP310:AP311"/>
    <mergeCell ref="AQ310:AQ311"/>
    <mergeCell ref="AT310:AT311"/>
    <mergeCell ref="AK313:AK314"/>
    <mergeCell ref="AM313:AM314"/>
    <mergeCell ref="AN313:AN314"/>
    <mergeCell ref="AP313:AP314"/>
    <mergeCell ref="AQ313:AQ314"/>
    <mergeCell ref="AK298:AK299"/>
    <mergeCell ref="AM298:AM299"/>
    <mergeCell ref="AN298:AN299"/>
    <mergeCell ref="AP298:AP299"/>
    <mergeCell ref="AQ298:AQ299"/>
    <mergeCell ref="E56:E65"/>
    <mergeCell ref="H56:H65"/>
    <mergeCell ref="I56:I65"/>
    <mergeCell ref="J56:J65"/>
    <mergeCell ref="AA156:AA157"/>
    <mergeCell ref="K77:K78"/>
    <mergeCell ref="L77:L78"/>
    <mergeCell ref="M77:M78"/>
    <mergeCell ref="L117:L118"/>
    <mergeCell ref="M56:M65"/>
    <mergeCell ref="AR156:AR157"/>
    <mergeCell ref="AF156:AF157"/>
    <mergeCell ref="Q156:Q157"/>
    <mergeCell ref="R156:R157"/>
    <mergeCell ref="S156:S157"/>
    <mergeCell ref="U156:U157"/>
    <mergeCell ref="X156:X157"/>
    <mergeCell ref="AB156:AB157"/>
    <mergeCell ref="AC156:AC157"/>
    <mergeCell ref="V156:V157"/>
    <mergeCell ref="AB241:AB242"/>
    <mergeCell ref="M67:M69"/>
    <mergeCell ref="AD156:AD157"/>
    <mergeCell ref="AE156:AE157"/>
    <mergeCell ref="AL156:AL157"/>
    <mergeCell ref="AO156:AO157"/>
    <mergeCell ref="M117:M118"/>
    <mergeCell ref="O127:O128"/>
    <mergeCell ref="N127:N128"/>
    <mergeCell ref="AM153:AM154"/>
    <mergeCell ref="AI241:AI242"/>
    <mergeCell ref="AU156:AU157"/>
    <mergeCell ref="AV156:AV157"/>
    <mergeCell ref="P241:P242"/>
    <mergeCell ref="Q241:Q242"/>
    <mergeCell ref="R241:R242"/>
    <mergeCell ref="S241:S242"/>
    <mergeCell ref="U241:U242"/>
    <mergeCell ref="X241:X242"/>
    <mergeCell ref="AA241:AA242"/>
    <mergeCell ref="C11:C17"/>
    <mergeCell ref="D11:D17"/>
    <mergeCell ref="AU241:AU242"/>
    <mergeCell ref="AV241:AV242"/>
    <mergeCell ref="AD241:AD242"/>
    <mergeCell ref="AE241:AE242"/>
    <mergeCell ref="AF241:AF242"/>
    <mergeCell ref="AJ241:AJ242"/>
    <mergeCell ref="AL241:AL242"/>
    <mergeCell ref="AO241:AO242"/>
  </mergeCells>
  <printOptions/>
  <pageMargins left="0.9055118110236221" right="0.31496062992125984" top="0.5511811023622047" bottom="0.5511811023622047" header="0.31496062992125984" footer="0.31496062992125984"/>
  <pageSetup fitToHeight="85" horizontalDpi="600" verticalDpi="600" orientation="landscape" paperSize="9" scale="47" r:id="rId1"/>
  <rowBreaks count="5" manualBreakCount="5">
    <brk id="103" max="47" man="1"/>
    <brk id="147" max="47" man="1"/>
    <brk id="172" max="47" man="1"/>
    <brk id="216" max="47" man="1"/>
    <brk id="291" max="47" man="1"/>
  </rowBreaks>
  <colBreaks count="1" manualBreakCount="1">
    <brk id="25" max="327"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2018-05-11T10:48:55Z</dcterms:modified>
  <cp:category/>
  <cp:version/>
  <cp:contentType/>
  <cp:contentStatus/>
</cp:coreProperties>
</file>